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19440" windowHeight="7995" activeTab="2"/>
  </bookViews>
  <sheets>
    <sheet name="таблица 1 " sheetId="12" r:id="rId1"/>
    <sheet name="таблица 3" sheetId="13" r:id="rId2"/>
    <sheet name="таблица 4" sheetId="14" r:id="rId3"/>
  </sheets>
  <definedNames>
    <definedName name="_xlnm.Print_Titles" localSheetId="1">'таблица 3'!$A:$B</definedName>
    <definedName name="_xlnm.Print_Area" localSheetId="0">'таблица 1 '!$A$1:$V$32</definedName>
    <definedName name="_xlnm.Print_Area" localSheetId="1">'таблица 3'!$A$1:$AP$32</definedName>
    <definedName name="_xlnm.Print_Area" localSheetId="2">'таблица 4'!$A$1:$F$32</definedName>
  </definedNames>
  <calcPr calcId="124519"/>
</workbook>
</file>

<file path=xl/calcChain.xml><?xml version="1.0" encoding="utf-8"?>
<calcChain xmlns="http://schemas.openxmlformats.org/spreadsheetml/2006/main">
  <c r="D16" i="12"/>
  <c r="AM28" i="13" l="1"/>
  <c r="AL28"/>
  <c r="D16" i="14" l="1"/>
  <c r="AK28" i="13" l="1"/>
  <c r="S28" i="12"/>
  <c r="B16" i="13" l="1"/>
  <c r="Z16"/>
  <c r="T28" i="12" l="1"/>
  <c r="B23"/>
  <c r="R28"/>
  <c r="Q28"/>
  <c r="AJ28" i="13" l="1"/>
  <c r="AI28"/>
  <c r="B17" l="1"/>
  <c r="AG28"/>
  <c r="AH28"/>
  <c r="AF28"/>
  <c r="N20" i="12"/>
  <c r="N18"/>
  <c r="B16" l="1"/>
  <c r="B18" i="13"/>
  <c r="AD28"/>
  <c r="AE28"/>
  <c r="B27"/>
  <c r="L17"/>
  <c r="B16" i="14"/>
  <c r="F28"/>
  <c r="E28"/>
  <c r="B27"/>
  <c r="C26"/>
  <c r="B26" s="1"/>
  <c r="B25"/>
  <c r="B24"/>
  <c r="C23"/>
  <c r="B23" s="1"/>
  <c r="C22"/>
  <c r="B22" s="1"/>
  <c r="B21"/>
  <c r="C20"/>
  <c r="B20"/>
  <c r="C19"/>
  <c r="C28" s="1"/>
  <c r="B19"/>
  <c r="B18"/>
  <c r="B17"/>
  <c r="D28" l="1"/>
  <c r="B28"/>
  <c r="O28" i="12" l="1"/>
  <c r="P28"/>
  <c r="AC28" i="13"/>
  <c r="AN28"/>
  <c r="AB28" l="1"/>
  <c r="Y28"/>
  <c r="Z28"/>
  <c r="AA28"/>
  <c r="E17"/>
  <c r="E16"/>
  <c r="AP28" l="1"/>
  <c r="AO28"/>
  <c r="X28"/>
  <c r="W28"/>
  <c r="V28"/>
  <c r="U28"/>
  <c r="T28"/>
  <c r="S28"/>
  <c r="R28"/>
  <c r="Q28"/>
  <c r="P28"/>
  <c r="O28"/>
  <c r="N28"/>
  <c r="M28"/>
  <c r="L28"/>
  <c r="K28"/>
  <c r="H28"/>
  <c r="G28"/>
  <c r="F28"/>
  <c r="E28"/>
  <c r="C28"/>
  <c r="B26"/>
  <c r="B25"/>
  <c r="B24"/>
  <c r="B23"/>
  <c r="J22"/>
  <c r="B22" s="1"/>
  <c r="B21"/>
  <c r="B20"/>
  <c r="D19"/>
  <c r="B19" s="1"/>
  <c r="I16"/>
  <c r="B28" l="1"/>
  <c r="D28"/>
  <c r="I28"/>
  <c r="J28"/>
  <c r="B27" i="12"/>
  <c r="N28"/>
  <c r="N16" l="1"/>
  <c r="M28"/>
  <c r="B26"/>
  <c r="B25"/>
  <c r="B24"/>
  <c r="B22"/>
  <c r="B21"/>
  <c r="B20"/>
  <c r="B19"/>
  <c r="B18"/>
  <c r="B17"/>
  <c r="L28" l="1"/>
  <c r="J26"/>
  <c r="K26" l="1"/>
  <c r="K28"/>
  <c r="H28" l="1"/>
  <c r="J28"/>
  <c r="I28" l="1"/>
  <c r="F28" l="1"/>
  <c r="G28"/>
  <c r="E28"/>
  <c r="D28"/>
  <c r="C28"/>
  <c r="B28" l="1"/>
  <c r="V28"/>
  <c r="U28"/>
</calcChain>
</file>

<file path=xl/sharedStrings.xml><?xml version="1.0" encoding="utf-8"?>
<sst xmlns="http://schemas.openxmlformats.org/spreadsheetml/2006/main" count="133" uniqueCount="83">
  <si>
    <t xml:space="preserve">Маслянинского района Новосибирской области  </t>
  </si>
  <si>
    <t>Маслянинского района Новосибирской области</t>
  </si>
  <si>
    <t>Таблица 1</t>
  </si>
  <si>
    <t>тыс.руб.</t>
  </si>
  <si>
    <t>Наименование муниципального образования</t>
  </si>
  <si>
    <t>р.п. Маслянино</t>
  </si>
  <si>
    <t>Бажинский с/с</t>
  </si>
  <si>
    <t>Березовский с/с</t>
  </si>
  <si>
    <t>Большеизыракский с/с</t>
  </si>
  <si>
    <t>Борковский с/с</t>
  </si>
  <si>
    <t>Дубровский с/с</t>
  </si>
  <si>
    <t>Егорьевский с/с</t>
  </si>
  <si>
    <t>Елбанский с/с</t>
  </si>
  <si>
    <t>Малотомский с/с</t>
  </si>
  <si>
    <t>Мамоновский с/с</t>
  </si>
  <si>
    <t>Никоновский с/с</t>
  </si>
  <si>
    <t>Пеньковский с/с</t>
  </si>
  <si>
    <t>ВСЕГО</t>
  </si>
  <si>
    <t>____________________</t>
  </si>
  <si>
    <t>на 2022 год и плановый период 2023-2024 годов»</t>
  </si>
  <si>
    <t>Распределение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</t>
  </si>
  <si>
    <t>Распределение иных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по обеспечению сбалансированности местных бюджетов государственной программы Новосибирской области «Управление финансами в Новосибирской области»</t>
  </si>
  <si>
    <t>Приложение №10</t>
  </si>
  <si>
    <t>депутатский фонд</t>
  </si>
  <si>
    <t>МРОТ до 17362,50</t>
  </si>
  <si>
    <t>распаковка</t>
  </si>
  <si>
    <t>коммунальные</t>
  </si>
  <si>
    <t>индексация</t>
  </si>
  <si>
    <t>трактор "Беларусь" со снежным отвалом</t>
  </si>
  <si>
    <t>распаковка культура</t>
  </si>
  <si>
    <t>ставка экскурсавода</t>
  </si>
  <si>
    <t>распаковка культура (доведение до 39119,70)</t>
  </si>
  <si>
    <t>распаковка на 9 месяцев (культура)</t>
  </si>
  <si>
    <t xml:space="preserve">МРОТ </t>
  </si>
  <si>
    <t>Таблица 3</t>
  </si>
  <si>
    <t>Распределение иных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в соответствии с заключенными соглашениями</t>
  </si>
  <si>
    <t>в том числе</t>
  </si>
  <si>
    <t xml:space="preserve">Организация утилизации, переработки и сбора отходов </t>
  </si>
  <si>
    <t>софинансирование к ИБ</t>
  </si>
  <si>
    <t>дорожный фонд</t>
  </si>
  <si>
    <t>Исполнение собственных полномочий</t>
  </si>
  <si>
    <t>водопровод с. Пайвино 9 км</t>
  </si>
  <si>
    <t>подключение уличного освещения (с.Кинтереп)</t>
  </si>
  <si>
    <t>установка системы оповещ</t>
  </si>
  <si>
    <t>штраф (предпис.об устранении требований наруш.пож.безопасн)</t>
  </si>
  <si>
    <t xml:space="preserve">софинансирование к  организации беспер. работы объектов жизнеобесп. </t>
  </si>
  <si>
    <t>Приобретение и установка остановочных павильонов</t>
  </si>
  <si>
    <t>Проектирование газопровода за р.Бердь (софинансирование к проекту 2021г)</t>
  </si>
  <si>
    <t>Определение рыночной стоимости в целях передачи в оперативное управление или хоз.вед.нежилого здания (котельная)</t>
  </si>
  <si>
    <t>оплата выполненных кадастровых работ по объекту "Строительство распределительных газовых сетей села Пайвино"</t>
  </si>
  <si>
    <t>оплата по аналитическим исследованиям и испытаниям (реконструкция системы водоснабжения в с.Пайвино)</t>
  </si>
  <si>
    <t>Экспертиза сметной документации (благоустройство КРСТ)</t>
  </si>
  <si>
    <t>Проектирование музея старателя и инжен-геодезич изыскания</t>
  </si>
  <si>
    <t>парк СССР (вода)</t>
  </si>
  <si>
    <t>огнезащ.обработка чердачных перекрытий</t>
  </si>
  <si>
    <t>оплата налоговой задолженности (земельный налог)</t>
  </si>
  <si>
    <t>возмещение расходов-742,0, выплата з/платы-700,0</t>
  </si>
  <si>
    <t>изготовление металлоконструкций для сцены</t>
  </si>
  <si>
    <t>присоединение газоиспольз.оборуд к сети газораспр</t>
  </si>
  <si>
    <t>монтаж уличного освещения ул.Коммунистическая</t>
  </si>
  <si>
    <t>Оплата кадастровых работ</t>
  </si>
  <si>
    <t>cофинансирование к расходам на реализацию мероприятий по переводу индивидуального малоэтажного жилищного фонда с централизованного теплоснабжения на индивидуальное поквартальное отопление  за счет средств местного бюджета</t>
  </si>
  <si>
    <t>распаковка на 4 квартал (культура)</t>
  </si>
  <si>
    <t>Таблица 4</t>
  </si>
  <si>
    <t>Распределение иных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муниципальной программы "Комплексное развитие сельских территорий Маслянинского района Новосибирской области"</t>
  </si>
  <si>
    <t>реализация проектов, направленных на создание комфортных условий проживания в сельской местности</t>
  </si>
  <si>
    <t>газопровод р.п. Маслянино</t>
  </si>
  <si>
    <t>замена составляющих частей системы ОПС</t>
  </si>
  <si>
    <t>поставка трактора с навесным оборудованием (дополнит.)</t>
  </si>
  <si>
    <t>погашение бюджетного кредита</t>
  </si>
  <si>
    <t>индексация МРОТ на 10%</t>
  </si>
  <si>
    <t>восстановление работоспособности канализационного коллектора</t>
  </si>
  <si>
    <t>откачка иловых отложений канализационных труб</t>
  </si>
  <si>
    <t>приобретение орг.техники</t>
  </si>
  <si>
    <t>Теплоснабжение Елбанского СДК</t>
  </si>
  <si>
    <t>ремонт водопровода в селе Пайвино</t>
  </si>
  <si>
    <t>Индексация з/платы на 4%</t>
  </si>
  <si>
    <t>Индексация з/п на 4%</t>
  </si>
  <si>
    <t xml:space="preserve">к решению 17 сессии Совета депутатов </t>
  </si>
  <si>
    <t>разработка разделов проекта "Реконструкция музея золотодобычи в с.Егорьевское Маслянинского района Новосибирской области"</t>
  </si>
  <si>
    <t>приобретение центробежного насоса с комплектующими в котельную с Мамоново</t>
  </si>
  <si>
    <t>от 29.11.2022 г. № 147  «О внесении изменений в бюджет</t>
  </si>
  <si>
    <t>от 29.11.2022 г. №147   «О внесении изменений в бюджет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</si>
</sst>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_-* #,##0.00000_р_._-;\-* #,##0.00000_р_._-;_-* &quot;-&quot;??_р_._-;_-@_-"/>
    <numFmt numFmtId="168" formatCode="#,##0.00000"/>
    <numFmt numFmtId="169" formatCode="#,##0.0"/>
  </numFmts>
  <fonts count="22">
    <font>
      <sz val="10"/>
      <name val="Arial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</cellStyleXfs>
  <cellXfs count="95">
    <xf numFmtId="0" fontId="0" fillId="0" borderId="0" xfId="0"/>
    <xf numFmtId="0" fontId="4" fillId="0" borderId="0" xfId="0" applyFont="1"/>
    <xf numFmtId="49" fontId="7" fillId="0" borderId="0" xfId="0" applyNumberFormat="1" applyFont="1" applyFill="1" applyAlignment="1">
      <alignment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2" fillId="3" borderId="0" xfId="0" applyFont="1" applyFill="1" applyAlignment="1"/>
    <xf numFmtId="0" fontId="7" fillId="0" borderId="4" xfId="0" applyFont="1" applyFill="1" applyBorder="1" applyAlignment="1">
      <alignment horizontal="left" wrapText="1"/>
    </xf>
    <xf numFmtId="165" fontId="14" fillId="0" borderId="5" xfId="1" applyNumberFormat="1" applyFont="1" applyFill="1" applyBorder="1"/>
    <xf numFmtId="0" fontId="7" fillId="0" borderId="6" xfId="0" applyFont="1" applyFill="1" applyBorder="1" applyAlignment="1">
      <alignment horizontal="left" wrapText="1"/>
    </xf>
    <xf numFmtId="165" fontId="14" fillId="0" borderId="7" xfId="1" applyNumberFormat="1" applyFont="1" applyFill="1" applyBorder="1"/>
    <xf numFmtId="0" fontId="15" fillId="3" borderId="0" xfId="0" applyFont="1" applyFill="1" applyAlignment="1"/>
    <xf numFmtId="0" fontId="7" fillId="0" borderId="8" xfId="0" applyFont="1" applyFill="1" applyBorder="1" applyAlignment="1">
      <alignment horizontal="left" wrapText="1"/>
    </xf>
    <xf numFmtId="0" fontId="17" fillId="3" borderId="0" xfId="0" applyFont="1" applyFill="1" applyAlignment="1"/>
    <xf numFmtId="0" fontId="13" fillId="3" borderId="0" xfId="0" applyFont="1" applyFill="1" applyAlignment="1"/>
    <xf numFmtId="0" fontId="18" fillId="3" borderId="0" xfId="0" applyFont="1" applyFill="1" applyAlignment="1"/>
    <xf numFmtId="0" fontId="19" fillId="3" borderId="0" xfId="0" applyFont="1" applyFill="1" applyAlignment="1"/>
    <xf numFmtId="4" fontId="4" fillId="0" borderId="0" xfId="0" applyNumberFormat="1" applyFont="1"/>
    <xf numFmtId="166" fontId="4" fillId="0" borderId="0" xfId="0" applyNumberFormat="1" applyFont="1"/>
    <xf numFmtId="49" fontId="1" fillId="2" borderId="0" xfId="0" applyNumberFormat="1" applyFont="1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/>
    <xf numFmtId="0" fontId="4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 applyAlignment="1">
      <alignment horizontal="right" wrapText="1"/>
    </xf>
    <xf numFmtId="49" fontId="7" fillId="2" borderId="0" xfId="0" applyNumberFormat="1" applyFont="1" applyFill="1" applyAlignment="1">
      <alignment wrapText="1"/>
    </xf>
    <xf numFmtId="0" fontId="10" fillId="0" borderId="0" xfId="0" applyFont="1" applyFill="1" applyAlignment="1">
      <alignment wrapText="1"/>
    </xf>
    <xf numFmtId="0" fontId="11" fillId="2" borderId="9" xfId="0" applyFont="1" applyFill="1" applyBorder="1"/>
    <xf numFmtId="0" fontId="12" fillId="2" borderId="11" xfId="0" applyFont="1" applyFill="1" applyBorder="1" applyAlignment="1"/>
    <xf numFmtId="0" fontId="12" fillId="2" borderId="0" xfId="0" applyFont="1" applyFill="1" applyAlignment="1"/>
    <xf numFmtId="0" fontId="13" fillId="2" borderId="0" xfId="0" applyFont="1" applyFill="1" applyAlignment="1"/>
    <xf numFmtId="4" fontId="13" fillId="2" borderId="0" xfId="0" applyNumberFormat="1" applyFont="1" applyFill="1" applyAlignment="1"/>
    <xf numFmtId="0" fontId="18" fillId="2" borderId="0" xfId="0" applyFont="1" applyFill="1" applyAlignment="1"/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7" fontId="12" fillId="2" borderId="11" xfId="0" applyNumberFormat="1" applyFont="1" applyFill="1" applyBorder="1" applyAlignment="1"/>
    <xf numFmtId="167" fontId="12" fillId="2" borderId="0" xfId="0" applyNumberFormat="1" applyFont="1" applyFill="1" applyBorder="1" applyAlignment="1"/>
    <xf numFmtId="0" fontId="7" fillId="0" borderId="12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11" fillId="0" borderId="9" xfId="0" applyFont="1" applyBorder="1"/>
    <xf numFmtId="0" fontId="12" fillId="3" borderId="11" xfId="0" applyFont="1" applyFill="1" applyBorder="1" applyAlignment="1"/>
    <xf numFmtId="167" fontId="12" fillId="3" borderId="0" xfId="0" applyNumberFormat="1" applyFont="1" applyFill="1" applyBorder="1" applyAlignment="1"/>
    <xf numFmtId="4" fontId="13" fillId="3" borderId="0" xfId="0" applyNumberFormat="1" applyFont="1" applyFill="1" applyAlignment="1"/>
    <xf numFmtId="0" fontId="7" fillId="0" borderId="10" xfId="0" applyFont="1" applyBorder="1" applyAlignment="1">
      <alignment wrapText="1"/>
    </xf>
    <xf numFmtId="165" fontId="14" fillId="0" borderId="15" xfId="1" applyNumberFormat="1" applyFont="1" applyFill="1" applyBorder="1"/>
    <xf numFmtId="168" fontId="16" fillId="2" borderId="10" xfId="0" applyNumberFormat="1" applyFont="1" applyFill="1" applyBorder="1" applyAlignment="1"/>
    <xf numFmtId="4" fontId="16" fillId="3" borderId="10" xfId="0" applyNumberFormat="1" applyFont="1" applyFill="1" applyBorder="1" applyAlignment="1"/>
    <xf numFmtId="0" fontId="12" fillId="3" borderId="0" xfId="0" applyFont="1" applyFill="1" applyBorder="1" applyAlignment="1"/>
    <xf numFmtId="0" fontId="7" fillId="2" borderId="4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168" fontId="14" fillId="2" borderId="15" xfId="1" applyNumberFormat="1" applyFont="1" applyFill="1" applyBorder="1"/>
    <xf numFmtId="168" fontId="14" fillId="4" borderId="15" xfId="1" applyNumberFormat="1" applyFont="1" applyFill="1" applyBorder="1"/>
    <xf numFmtId="168" fontId="14" fillId="2" borderId="7" xfId="1" applyNumberFormat="1" applyFont="1" applyFill="1" applyBorder="1"/>
    <xf numFmtId="168" fontId="14" fillId="2" borderId="5" xfId="1" applyNumberFormat="1" applyFont="1" applyFill="1" applyBorder="1"/>
    <xf numFmtId="168" fontId="14" fillId="4" borderId="7" xfId="1" applyNumberFormat="1" applyFont="1" applyFill="1" applyBorder="1"/>
    <xf numFmtId="168" fontId="14" fillId="0" borderId="5" xfId="1" applyNumberFormat="1" applyFont="1" applyFill="1" applyBorder="1"/>
    <xf numFmtId="168" fontId="14" fillId="2" borderId="7" xfId="1" applyNumberFormat="1" applyFont="1" applyFill="1" applyBorder="1" applyAlignment="1">
      <alignment horizontal="center" vertical="center"/>
    </xf>
    <xf numFmtId="168" fontId="20" fillId="2" borderId="7" xfId="1" applyNumberFormat="1" applyFont="1" applyFill="1" applyBorder="1" applyAlignment="1">
      <alignment horizontal="center" vertical="center"/>
    </xf>
    <xf numFmtId="168" fontId="14" fillId="4" borderId="7" xfId="1" applyNumberFormat="1" applyFont="1" applyFill="1" applyBorder="1" applyAlignment="1">
      <alignment horizontal="center" vertical="center"/>
    </xf>
    <xf numFmtId="168" fontId="14" fillId="0" borderId="7" xfId="1" applyNumberFormat="1" applyFont="1" applyFill="1" applyBorder="1"/>
    <xf numFmtId="168" fontId="21" fillId="2" borderId="10" xfId="0" applyNumberFormat="1" applyFont="1" applyFill="1" applyBorder="1" applyAlignment="1"/>
    <xf numFmtId="168" fontId="21" fillId="4" borderId="10" xfId="0" applyNumberFormat="1" applyFont="1" applyFill="1" applyBorder="1" applyAlignment="1"/>
    <xf numFmtId="169" fontId="14" fillId="2" borderId="5" xfId="1" applyNumberFormat="1" applyFont="1" applyFill="1" applyBorder="1" applyAlignment="1">
      <alignment horizontal="center"/>
    </xf>
    <xf numFmtId="169" fontId="14" fillId="2" borderId="7" xfId="1" applyNumberFormat="1" applyFont="1" applyFill="1" applyBorder="1" applyAlignment="1">
      <alignment horizontal="center" vertical="center"/>
    </xf>
    <xf numFmtId="169" fontId="16" fillId="2" borderId="10" xfId="0" applyNumberFormat="1" applyFont="1" applyFill="1" applyBorder="1" applyAlignment="1"/>
    <xf numFmtId="169" fontId="14" fillId="2" borderId="15" xfId="1" applyNumberFormat="1" applyFont="1" applyFill="1" applyBorder="1"/>
    <xf numFmtId="168" fontId="14" fillId="2" borderId="5" xfId="1" applyNumberFormat="1" applyFont="1" applyFill="1" applyBorder="1" applyAlignment="1">
      <alignment horizontal="center"/>
    </xf>
    <xf numFmtId="168" fontId="14" fillId="4" borderId="5" xfId="1" applyNumberFormat="1" applyFont="1" applyFill="1" applyBorder="1" applyAlignment="1">
      <alignment horizontal="center"/>
    </xf>
    <xf numFmtId="168" fontId="20" fillId="2" borderId="5" xfId="1" applyNumberFormat="1" applyFont="1" applyFill="1" applyBorder="1" applyAlignment="1">
      <alignment horizontal="center"/>
    </xf>
    <xf numFmtId="168" fontId="14" fillId="0" borderId="5" xfId="1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9" fillId="3" borderId="0" xfId="0" applyFont="1" applyFill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/>
    </xf>
    <xf numFmtId="0" fontId="0" fillId="0" borderId="0" xfId="0" applyAlignment="1">
      <alignment horizontal="right"/>
    </xf>
  </cellXfs>
  <cellStyles count="8">
    <cellStyle name="Обычный" xfId="0" builtinId="0"/>
    <cellStyle name="Обычный 2" xfId="7"/>
    <cellStyle name="Финансовый 2" xfId="2"/>
    <cellStyle name="Финансовый 2 2" xfId="3"/>
    <cellStyle name="Финансовый 2 2 2" xfId="4"/>
    <cellStyle name="Финансовый 3" xfId="5"/>
    <cellStyle name="Финансовый 3 2" xfId="1"/>
    <cellStyle name="Финансов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5"/>
  <sheetViews>
    <sheetView zoomScale="80" zoomScaleNormal="80" zoomScaleSheetLayoutView="80" workbookViewId="0">
      <selection activeCell="A11" sqref="A11:V11"/>
    </sheetView>
  </sheetViews>
  <sheetFormatPr defaultRowHeight="12.75"/>
  <cols>
    <col min="1" max="1" width="25.7109375" style="1" customWidth="1"/>
    <col min="2" max="2" width="24.42578125" style="1" customWidth="1"/>
    <col min="3" max="3" width="13.7109375" style="1" hidden="1" customWidth="1"/>
    <col min="4" max="4" width="17.5703125" style="1" hidden="1" customWidth="1"/>
    <col min="5" max="5" width="16.140625" style="1" hidden="1" customWidth="1"/>
    <col min="6" max="6" width="15.7109375" style="1" hidden="1" customWidth="1"/>
    <col min="7" max="7" width="16" style="1" hidden="1" customWidth="1"/>
    <col min="8" max="8" width="16.5703125" style="1" hidden="1" customWidth="1"/>
    <col min="9" max="9" width="13.85546875" style="1" hidden="1" customWidth="1"/>
    <col min="10" max="10" width="14.5703125" style="1" hidden="1" customWidth="1"/>
    <col min="11" max="12" width="17.140625" style="1" hidden="1" customWidth="1"/>
    <col min="13" max="18" width="16" style="1" hidden="1" customWidth="1"/>
    <col min="19" max="19" width="17.85546875" style="1" hidden="1" customWidth="1"/>
    <col min="20" max="20" width="9.85546875" style="1" hidden="1" customWidth="1"/>
    <col min="21" max="22" width="17" style="1" customWidth="1"/>
    <col min="23" max="16384" width="9.140625" style="1"/>
  </cols>
  <sheetData>
    <row r="1" spans="1:24" s="27" customFormat="1" ht="17.25" customHeight="1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 t="s">
        <v>22</v>
      </c>
      <c r="W1" s="26"/>
    </row>
    <row r="2" spans="1:24" s="27" customFormat="1" ht="18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30" t="s">
        <v>78</v>
      </c>
      <c r="W2" s="31"/>
    </row>
    <row r="3" spans="1:24" s="27" customFormat="1" ht="12.75" customHeight="1">
      <c r="A3" s="3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30" t="s">
        <v>0</v>
      </c>
      <c r="W3" s="31"/>
    </row>
    <row r="4" spans="1:24" s="27" customFormat="1" ht="12" customHeight="1">
      <c r="A4" s="28"/>
      <c r="B4" s="93" t="s">
        <v>81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31"/>
    </row>
    <row r="5" spans="1:24" s="27" customFormat="1" ht="15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V5" s="30" t="s">
        <v>1</v>
      </c>
    </row>
    <row r="6" spans="1:24" s="27" customFormat="1" ht="15.7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V6" s="30" t="s">
        <v>19</v>
      </c>
    </row>
    <row r="7" spans="1:24" s="27" customFormat="1" ht="1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4" ht="75.75" customHeight="1">
      <c r="A8" s="86" t="s">
        <v>20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3"/>
    </row>
    <row r="9" spans="1:24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3"/>
    </row>
    <row r="10" spans="1:24" ht="15">
      <c r="A10" s="2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3"/>
      <c r="V10" s="6" t="s">
        <v>2</v>
      </c>
      <c r="W10" s="3"/>
    </row>
    <row r="11" spans="1:24" ht="117.75" customHeight="1">
      <c r="A11" s="88" t="s">
        <v>21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34"/>
      <c r="X11" s="34"/>
    </row>
    <row r="13" spans="1:24" ht="13.5" thickBot="1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V13" s="9" t="s">
        <v>3</v>
      </c>
    </row>
    <row r="14" spans="1:24" s="10" customFormat="1" ht="15" customHeight="1">
      <c r="A14" s="81" t="s">
        <v>4</v>
      </c>
      <c r="B14" s="81">
        <v>2022</v>
      </c>
      <c r="C14" s="81" t="s">
        <v>24</v>
      </c>
      <c r="D14" s="81" t="s">
        <v>23</v>
      </c>
      <c r="E14" s="81" t="s">
        <v>25</v>
      </c>
      <c r="F14" s="81" t="s">
        <v>26</v>
      </c>
      <c r="G14" s="81" t="s">
        <v>27</v>
      </c>
      <c r="H14" s="81" t="s">
        <v>28</v>
      </c>
      <c r="I14" s="81" t="s">
        <v>29</v>
      </c>
      <c r="J14" s="81" t="s">
        <v>30</v>
      </c>
      <c r="K14" s="81" t="s">
        <v>31</v>
      </c>
      <c r="L14" s="81" t="s">
        <v>32</v>
      </c>
      <c r="M14" s="81" t="s">
        <v>33</v>
      </c>
      <c r="N14" s="81" t="s">
        <v>27</v>
      </c>
      <c r="O14" s="83" t="s">
        <v>62</v>
      </c>
      <c r="P14" s="83" t="s">
        <v>70</v>
      </c>
      <c r="Q14" s="83" t="s">
        <v>74</v>
      </c>
      <c r="R14" s="83" t="s">
        <v>73</v>
      </c>
      <c r="S14" s="83" t="s">
        <v>76</v>
      </c>
      <c r="T14" s="41"/>
      <c r="U14" s="81">
        <v>2023</v>
      </c>
      <c r="V14" s="81">
        <v>2024</v>
      </c>
    </row>
    <row r="15" spans="1:24" s="10" customFormat="1" ht="51.75" customHeight="1" thickBot="1">
      <c r="A15" s="87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4"/>
      <c r="P15" s="84"/>
      <c r="Q15" s="84"/>
      <c r="R15" s="84"/>
      <c r="S15" s="84"/>
      <c r="T15" s="42"/>
      <c r="U15" s="82"/>
      <c r="V15" s="82"/>
    </row>
    <row r="16" spans="1:24" s="10" customFormat="1" ht="18" customHeight="1">
      <c r="A16" s="11" t="s">
        <v>5</v>
      </c>
      <c r="B16" s="73">
        <f>0+SUM(C16:T16)</f>
        <v>8954.5355600000021</v>
      </c>
      <c r="C16" s="77">
        <v>7.46</v>
      </c>
      <c r="D16" s="78">
        <f>1280+1000+350+160-350</f>
        <v>2440</v>
      </c>
      <c r="E16" s="77">
        <v>79.75855</v>
      </c>
      <c r="F16" s="77">
        <v>185</v>
      </c>
      <c r="G16" s="77">
        <v>659.08013000000005</v>
      </c>
      <c r="H16" s="77">
        <v>4500</v>
      </c>
      <c r="I16" s="79">
        <v>61.230330000000002</v>
      </c>
      <c r="J16" s="79"/>
      <c r="K16" s="77">
        <v>54.562130000000003</v>
      </c>
      <c r="L16" s="77">
        <v>57.896160000000002</v>
      </c>
      <c r="M16" s="77">
        <v>4.3018099999999997</v>
      </c>
      <c r="N16" s="77">
        <f>571.42845+123.64511</f>
        <v>695.07356000000004</v>
      </c>
      <c r="O16" s="77">
        <v>57.89629</v>
      </c>
      <c r="P16" s="77">
        <v>15.11467</v>
      </c>
      <c r="Q16" s="77"/>
      <c r="R16" s="77">
        <v>0</v>
      </c>
      <c r="S16" s="78">
        <v>137.16193000000001</v>
      </c>
      <c r="T16" s="77"/>
      <c r="U16" s="80"/>
      <c r="V16" s="66"/>
    </row>
    <row r="17" spans="1:22" s="10" customFormat="1" ht="15">
      <c r="A17" s="13" t="s">
        <v>6</v>
      </c>
      <c r="B17" s="74">
        <f>4318.4+SUM(C17:T17)</f>
        <v>5632.3043199999993</v>
      </c>
      <c r="C17" s="67">
        <v>6.66</v>
      </c>
      <c r="D17" s="67">
        <v>80</v>
      </c>
      <c r="E17" s="67">
        <v>124.61117</v>
      </c>
      <c r="F17" s="67">
        <v>288.56499000000002</v>
      </c>
      <c r="G17" s="67">
        <v>144.57006000000001</v>
      </c>
      <c r="H17" s="67"/>
      <c r="I17" s="68">
        <v>95.672579999999996</v>
      </c>
      <c r="J17" s="68"/>
      <c r="K17" s="67">
        <v>85.253330000000005</v>
      </c>
      <c r="L17" s="67">
        <v>90.462959999999995</v>
      </c>
      <c r="M17" s="67">
        <v>19.78023</v>
      </c>
      <c r="N17" s="67">
        <v>129.99767</v>
      </c>
      <c r="O17" s="67">
        <v>98.713539999999995</v>
      </c>
      <c r="P17" s="67">
        <v>18.64969</v>
      </c>
      <c r="Q17" s="67"/>
      <c r="R17" s="67">
        <v>100</v>
      </c>
      <c r="S17" s="69">
        <v>30.9681</v>
      </c>
      <c r="T17" s="67"/>
      <c r="U17" s="70"/>
      <c r="V17" s="70"/>
    </row>
    <row r="18" spans="1:22" s="10" customFormat="1" ht="15">
      <c r="A18" s="13" t="s">
        <v>7</v>
      </c>
      <c r="B18" s="74">
        <f>3415.3+SUM(C18:T18)</f>
        <v>4150.6839799999998</v>
      </c>
      <c r="C18" s="67">
        <v>8</v>
      </c>
      <c r="D18" s="67"/>
      <c r="E18" s="67">
        <v>79.751149999999996</v>
      </c>
      <c r="F18" s="67">
        <v>67.35772</v>
      </c>
      <c r="G18" s="67">
        <v>92.676299999999998</v>
      </c>
      <c r="H18" s="67"/>
      <c r="I18" s="68">
        <v>61.230460000000001</v>
      </c>
      <c r="J18" s="68"/>
      <c r="K18" s="67">
        <v>54.562130000000003</v>
      </c>
      <c r="L18" s="67">
        <v>57.89629</v>
      </c>
      <c r="M18" s="67">
        <v>23.736270000000001</v>
      </c>
      <c r="N18" s="67">
        <f>98.2088-0.86226</f>
        <v>97.34653999999999</v>
      </c>
      <c r="O18" s="67">
        <v>57.89631</v>
      </c>
      <c r="P18" s="67">
        <v>22.379580000000001</v>
      </c>
      <c r="Q18" s="67"/>
      <c r="R18" s="67">
        <v>100</v>
      </c>
      <c r="S18" s="69">
        <v>12.55123</v>
      </c>
      <c r="T18" s="67"/>
      <c r="U18" s="70"/>
      <c r="V18" s="70"/>
    </row>
    <row r="19" spans="1:22" s="10" customFormat="1" ht="15">
      <c r="A19" s="13" t="s">
        <v>8</v>
      </c>
      <c r="B19" s="74">
        <f>3381.8+SUM(C19:T19)</f>
        <v>4141.8979500000005</v>
      </c>
      <c r="C19" s="67">
        <v>6.93</v>
      </c>
      <c r="D19" s="67"/>
      <c r="E19" s="67">
        <v>79.751149999999996</v>
      </c>
      <c r="F19" s="67">
        <v>39.609409999999997</v>
      </c>
      <c r="G19" s="67">
        <v>114.85805999999999</v>
      </c>
      <c r="H19" s="67"/>
      <c r="I19" s="68">
        <v>61.230460000000001</v>
      </c>
      <c r="J19" s="68"/>
      <c r="K19" s="67">
        <v>54.562130000000003</v>
      </c>
      <c r="L19" s="67">
        <v>55.753779999999999</v>
      </c>
      <c r="M19" s="67">
        <v>20.571439999999999</v>
      </c>
      <c r="N19" s="67">
        <v>124.64748</v>
      </c>
      <c r="O19" s="67">
        <v>57.896279999999997</v>
      </c>
      <c r="P19" s="67">
        <v>19.395589999999999</v>
      </c>
      <c r="Q19" s="67"/>
      <c r="R19" s="67">
        <v>100</v>
      </c>
      <c r="S19" s="69">
        <v>24.89217</v>
      </c>
      <c r="T19" s="67"/>
      <c r="U19" s="70"/>
      <c r="V19" s="70"/>
    </row>
    <row r="20" spans="1:22" s="10" customFormat="1" ht="15">
      <c r="A20" s="13" t="s">
        <v>9</v>
      </c>
      <c r="B20" s="74">
        <f>2276.4+SUM(C20:T20)</f>
        <v>2977.71398</v>
      </c>
      <c r="C20" s="67">
        <v>4</v>
      </c>
      <c r="D20" s="67"/>
      <c r="E20" s="67">
        <v>58.813360000000003</v>
      </c>
      <c r="F20" s="67">
        <v>209.60213999999999</v>
      </c>
      <c r="G20" s="67">
        <v>76.009929999999997</v>
      </c>
      <c r="H20" s="67"/>
      <c r="I20" s="68">
        <v>46.422840000000001</v>
      </c>
      <c r="J20" s="68"/>
      <c r="K20" s="67">
        <v>40.921599999999998</v>
      </c>
      <c r="L20" s="67">
        <v>43.922229999999999</v>
      </c>
      <c r="M20" s="67">
        <v>0</v>
      </c>
      <c r="N20" s="67">
        <f>91.02535-26.88057</f>
        <v>64.144779999999997</v>
      </c>
      <c r="O20" s="67">
        <v>43.422220000000003</v>
      </c>
      <c r="P20" s="67">
        <v>4.1391099999999996</v>
      </c>
      <c r="Q20" s="67"/>
      <c r="R20" s="67">
        <v>100</v>
      </c>
      <c r="S20" s="69">
        <v>9.9157700000000002</v>
      </c>
      <c r="T20" s="67"/>
      <c r="U20" s="70"/>
      <c r="V20" s="70"/>
    </row>
    <row r="21" spans="1:22" s="10" customFormat="1" ht="15">
      <c r="A21" s="13" t="s">
        <v>10</v>
      </c>
      <c r="B21" s="74">
        <f>3866.8+SUM(C21:T21)</f>
        <v>4668.5836900000004</v>
      </c>
      <c r="C21" s="67">
        <v>8</v>
      </c>
      <c r="D21" s="67"/>
      <c r="E21" s="67">
        <v>91.381519999999995</v>
      </c>
      <c r="F21" s="67"/>
      <c r="G21" s="67">
        <v>120.09542999999999</v>
      </c>
      <c r="H21" s="67"/>
      <c r="I21" s="68">
        <v>76.538070000000005</v>
      </c>
      <c r="J21" s="68"/>
      <c r="K21" s="67">
        <v>68.202669999999998</v>
      </c>
      <c r="L21" s="67">
        <v>72.370379999999997</v>
      </c>
      <c r="M21" s="67">
        <v>23.736270000000001</v>
      </c>
      <c r="N21" s="67">
        <v>124.0373</v>
      </c>
      <c r="O21" s="67">
        <v>72.370369999999994</v>
      </c>
      <c r="P21" s="67">
        <v>20.956389999999999</v>
      </c>
      <c r="Q21" s="67"/>
      <c r="R21" s="67">
        <v>100</v>
      </c>
      <c r="S21" s="69">
        <v>24.095289999999999</v>
      </c>
      <c r="T21" s="67"/>
      <c r="U21" s="70"/>
      <c r="V21" s="70"/>
    </row>
    <row r="22" spans="1:22" s="15" customFormat="1" ht="15">
      <c r="A22" s="13" t="s">
        <v>11</v>
      </c>
      <c r="B22" s="74">
        <f>2012.5+SUM(C22:T22)</f>
        <v>2802.3717000000001</v>
      </c>
      <c r="C22" s="67">
        <v>8</v>
      </c>
      <c r="D22" s="67"/>
      <c r="E22" s="67">
        <v>75.763580000000005</v>
      </c>
      <c r="F22" s="67">
        <v>86.279740000000004</v>
      </c>
      <c r="G22" s="67">
        <v>111.29563</v>
      </c>
      <c r="H22" s="67"/>
      <c r="I22" s="68">
        <v>58.168930000000003</v>
      </c>
      <c r="J22" s="68"/>
      <c r="K22" s="67">
        <v>51.834029999999998</v>
      </c>
      <c r="L22" s="67">
        <v>55.001489999999997</v>
      </c>
      <c r="M22" s="67">
        <v>23.736270000000001</v>
      </c>
      <c r="N22" s="67">
        <v>124.92564</v>
      </c>
      <c r="O22" s="67">
        <v>55.001469999999998</v>
      </c>
      <c r="P22" s="67">
        <v>31.29918</v>
      </c>
      <c r="Q22" s="67"/>
      <c r="R22" s="67">
        <v>100</v>
      </c>
      <c r="S22" s="69">
        <v>8.5657399999999999</v>
      </c>
      <c r="T22" s="67"/>
      <c r="U22" s="70"/>
      <c r="V22" s="70"/>
    </row>
    <row r="23" spans="1:22" s="10" customFormat="1" ht="15">
      <c r="A23" s="13" t="s">
        <v>12</v>
      </c>
      <c r="B23" s="74">
        <f>4268.8+SUM(C23:T23)</f>
        <v>5439.61852</v>
      </c>
      <c r="C23" s="67">
        <v>6.4</v>
      </c>
      <c r="D23" s="67"/>
      <c r="E23" s="67">
        <v>171.21778</v>
      </c>
      <c r="F23" s="67">
        <v>156.53434999999999</v>
      </c>
      <c r="G23" s="67">
        <v>109.34613</v>
      </c>
      <c r="H23" s="67"/>
      <c r="I23" s="68">
        <v>0</v>
      </c>
      <c r="J23" s="68"/>
      <c r="K23" s="67">
        <v>85.935360000000003</v>
      </c>
      <c r="L23" s="67"/>
      <c r="M23" s="67">
        <v>18.98902</v>
      </c>
      <c r="N23" s="67">
        <v>119.68284</v>
      </c>
      <c r="O23" s="67">
        <v>0</v>
      </c>
      <c r="P23" s="67">
        <v>16.601669999999999</v>
      </c>
      <c r="Q23" s="69">
        <v>361.37</v>
      </c>
      <c r="R23" s="67">
        <v>100</v>
      </c>
      <c r="S23" s="69">
        <v>24.74137</v>
      </c>
      <c r="T23" s="67"/>
      <c r="U23" s="70"/>
      <c r="V23" s="70"/>
    </row>
    <row r="24" spans="1:22" s="10" customFormat="1" ht="15">
      <c r="A24" s="13" t="s">
        <v>13</v>
      </c>
      <c r="B24" s="74">
        <f>4492+SUM(C24:T24)</f>
        <v>5342.4403899999998</v>
      </c>
      <c r="C24" s="67">
        <v>6.66</v>
      </c>
      <c r="D24" s="67"/>
      <c r="E24" s="67">
        <v>91.713300000000004</v>
      </c>
      <c r="F24" s="67">
        <v>87.038229999999999</v>
      </c>
      <c r="G24" s="67">
        <v>113.03805</v>
      </c>
      <c r="H24" s="67"/>
      <c r="I24" s="68">
        <v>70.415019999999998</v>
      </c>
      <c r="J24" s="68"/>
      <c r="K24" s="67">
        <v>62.746450000000003</v>
      </c>
      <c r="L24" s="67">
        <v>66.580740000000006</v>
      </c>
      <c r="M24" s="67">
        <v>19.78023</v>
      </c>
      <c r="N24" s="67">
        <v>122.47434</v>
      </c>
      <c r="O24" s="67">
        <v>66.580740000000006</v>
      </c>
      <c r="P24" s="67">
        <v>18.646629999999998</v>
      </c>
      <c r="Q24" s="67"/>
      <c r="R24" s="67">
        <v>100</v>
      </c>
      <c r="S24" s="69">
        <v>24.766660000000002</v>
      </c>
      <c r="T24" s="67"/>
      <c r="U24" s="70"/>
      <c r="V24" s="70"/>
    </row>
    <row r="25" spans="1:22" s="10" customFormat="1" ht="15">
      <c r="A25" s="13" t="s">
        <v>14</v>
      </c>
      <c r="B25" s="74">
        <f>1230.8+SUM(C25:T25)</f>
        <v>2018.8753899999999</v>
      </c>
      <c r="C25" s="67">
        <v>6.66</v>
      </c>
      <c r="D25" s="67"/>
      <c r="E25" s="67">
        <v>95.701369999999997</v>
      </c>
      <c r="F25" s="67"/>
      <c r="G25" s="67">
        <v>119.31407</v>
      </c>
      <c r="H25" s="67"/>
      <c r="I25" s="68">
        <v>73.476550000000003</v>
      </c>
      <c r="J25" s="68"/>
      <c r="K25" s="67">
        <v>65.474559999999997</v>
      </c>
      <c r="L25" s="67">
        <v>69.475530000000006</v>
      </c>
      <c r="M25" s="67">
        <v>20.441759999999999</v>
      </c>
      <c r="N25" s="67">
        <v>124.0424</v>
      </c>
      <c r="O25" s="67">
        <v>69.475570000000005</v>
      </c>
      <c r="P25" s="67">
        <v>18.64977</v>
      </c>
      <c r="Q25" s="67"/>
      <c r="R25" s="67">
        <v>100</v>
      </c>
      <c r="S25" s="69">
        <v>25.363810000000001</v>
      </c>
      <c r="T25" s="67"/>
      <c r="U25" s="70"/>
      <c r="V25" s="70"/>
    </row>
    <row r="26" spans="1:22" s="10" customFormat="1" ht="15">
      <c r="A26" s="13" t="s">
        <v>15</v>
      </c>
      <c r="B26" s="74">
        <f>1761.5+SUM(C26:T26)</f>
        <v>2474.95352</v>
      </c>
      <c r="C26" s="67">
        <v>10.66</v>
      </c>
      <c r="D26" s="67"/>
      <c r="E26" s="67">
        <v>38.552480000000003</v>
      </c>
      <c r="F26" s="67"/>
      <c r="G26" s="67">
        <v>91.893119999999996</v>
      </c>
      <c r="H26" s="67"/>
      <c r="I26" s="68">
        <v>30.61374</v>
      </c>
      <c r="J26" s="68">
        <f>300.98516-135.54321</f>
        <v>165.44195000000002</v>
      </c>
      <c r="K26" s="67">
        <f>27.28107+4.77485</f>
        <v>32.05592</v>
      </c>
      <c r="L26" s="67"/>
      <c r="M26" s="67">
        <v>32.170250000000003</v>
      </c>
      <c r="N26" s="67">
        <v>103.61026</v>
      </c>
      <c r="O26" s="67">
        <v>57.737630000000003</v>
      </c>
      <c r="P26" s="67">
        <v>29.390460000000001</v>
      </c>
      <c r="Q26" s="67"/>
      <c r="R26" s="67">
        <v>100</v>
      </c>
      <c r="S26" s="69">
        <v>21.32771</v>
      </c>
      <c r="T26" s="67"/>
      <c r="U26" s="70"/>
      <c r="V26" s="70"/>
    </row>
    <row r="27" spans="1:22" s="10" customFormat="1" ht="15.75" thickBot="1">
      <c r="A27" s="16" t="s">
        <v>16</v>
      </c>
      <c r="B27" s="74">
        <f>0+SUM(C27:T27)</f>
        <v>1115.93613</v>
      </c>
      <c r="C27" s="67">
        <v>2.13</v>
      </c>
      <c r="D27" s="67"/>
      <c r="E27" s="67">
        <v>179.44007999999999</v>
      </c>
      <c r="F27" s="67"/>
      <c r="G27" s="67">
        <v>123.17230000000001</v>
      </c>
      <c r="H27" s="67"/>
      <c r="I27" s="68">
        <v>137.76853</v>
      </c>
      <c r="J27" s="68"/>
      <c r="K27" s="67">
        <v>122.76479999999999</v>
      </c>
      <c r="L27" s="67">
        <v>130.26666</v>
      </c>
      <c r="M27" s="67">
        <v>5.9734400000000001</v>
      </c>
      <c r="N27" s="67">
        <v>140.23054999999999</v>
      </c>
      <c r="O27" s="67">
        <v>130.26666</v>
      </c>
      <c r="P27" s="67">
        <v>13.427720000000001</v>
      </c>
      <c r="Q27" s="67"/>
      <c r="R27" s="67">
        <v>100</v>
      </c>
      <c r="S27" s="69">
        <v>30.49539</v>
      </c>
      <c r="T27" s="67"/>
      <c r="U27" s="70"/>
      <c r="V27" s="70"/>
    </row>
    <row r="28" spans="1:22" s="17" customFormat="1" ht="15.75" thickBot="1">
      <c r="A28" s="35" t="s">
        <v>17</v>
      </c>
      <c r="B28" s="75">
        <f>SUM(B16:B27)</f>
        <v>49719.915130000016</v>
      </c>
      <c r="C28" s="55">
        <f>SUM(C16:C27)</f>
        <v>81.559999999999988</v>
      </c>
      <c r="D28" s="55">
        <f>SUM(D16:D27)</f>
        <v>2520</v>
      </c>
      <c r="E28" s="55">
        <f t="shared" ref="E28" si="0">SUM(E16:E27)</f>
        <v>1166.4554900000001</v>
      </c>
      <c r="F28" s="55">
        <f t="shared" ref="F28" si="1">SUM(F16:F27)</f>
        <v>1119.9865799999998</v>
      </c>
      <c r="G28" s="55">
        <f t="shared" ref="G28:L28" si="2">SUM(G16:G27)</f>
        <v>1875.3492099999999</v>
      </c>
      <c r="H28" s="55">
        <f t="shared" si="2"/>
        <v>4500</v>
      </c>
      <c r="I28" s="71">
        <f t="shared" si="2"/>
        <v>772.7675099999999</v>
      </c>
      <c r="J28" s="71">
        <f t="shared" si="2"/>
        <v>165.44195000000002</v>
      </c>
      <c r="K28" s="71">
        <f t="shared" si="2"/>
        <v>778.87511000000006</v>
      </c>
      <c r="L28" s="71">
        <f t="shared" si="2"/>
        <v>699.62621999999999</v>
      </c>
      <c r="M28" s="71">
        <f>SUM(M16:M27)</f>
        <v>213.21699000000001</v>
      </c>
      <c r="N28" s="71">
        <f>SUM(N16:N27)</f>
        <v>1970.21336</v>
      </c>
      <c r="O28" s="71">
        <f t="shared" ref="O28:T28" si="3">SUM(O16:O27)</f>
        <v>767.25707999999997</v>
      </c>
      <c r="P28" s="71">
        <f t="shared" si="3"/>
        <v>228.65045999999998</v>
      </c>
      <c r="Q28" s="71">
        <f t="shared" si="3"/>
        <v>361.37</v>
      </c>
      <c r="R28" s="71">
        <f t="shared" si="3"/>
        <v>1100</v>
      </c>
      <c r="S28" s="72">
        <f t="shared" si="3"/>
        <v>374.84517000000005</v>
      </c>
      <c r="T28" s="71">
        <f t="shared" si="3"/>
        <v>0</v>
      </c>
      <c r="U28" s="55">
        <f>SUM(U16:U27)</f>
        <v>0</v>
      </c>
      <c r="V28" s="55">
        <f>SUM(V16:V27)</f>
        <v>0</v>
      </c>
    </row>
    <row r="29" spans="1:22" s="10" customFormat="1">
      <c r="A29" s="36"/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37"/>
      <c r="V29" s="37"/>
    </row>
    <row r="30" spans="1:22" s="18" customFormat="1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9"/>
      <c r="V30" s="38"/>
    </row>
    <row r="31" spans="1:22" s="19" customFormat="1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</row>
    <row r="32" spans="1:22" s="20" customFormat="1">
      <c r="A32" s="85" t="s">
        <v>18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</row>
    <row r="33" spans="1:2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</row>
    <row r="34" spans="1:22">
      <c r="V34" s="21"/>
    </row>
    <row r="35" spans="1:2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1"/>
      <c r="V35" s="21"/>
    </row>
  </sheetData>
  <mergeCells count="25">
    <mergeCell ref="B4:V4"/>
    <mergeCell ref="A8:V8"/>
    <mergeCell ref="A14:A15"/>
    <mergeCell ref="B14:B15"/>
    <mergeCell ref="U14:U15"/>
    <mergeCell ref="V14:V15"/>
    <mergeCell ref="A11:V11"/>
    <mergeCell ref="M14:M15"/>
    <mergeCell ref="C14:C15"/>
    <mergeCell ref="D14:D15"/>
    <mergeCell ref="E14:E15"/>
    <mergeCell ref="F14:F15"/>
    <mergeCell ref="G14:G15"/>
    <mergeCell ref="I14:I15"/>
    <mergeCell ref="N14:N15"/>
    <mergeCell ref="L14:L15"/>
    <mergeCell ref="J14:J15"/>
    <mergeCell ref="H14:H15"/>
    <mergeCell ref="K14:K15"/>
    <mergeCell ref="O14:O15"/>
    <mergeCell ref="A32:V32"/>
    <mergeCell ref="P14:P15"/>
    <mergeCell ref="Q14:Q15"/>
    <mergeCell ref="R14:R15"/>
    <mergeCell ref="S14:S15"/>
  </mergeCells>
  <printOptions horizontalCentered="1"/>
  <pageMargins left="0.98425196850393704" right="0.59055118110236227" top="0.78740157480314965" bottom="0.78740157480314965" header="0" footer="0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35"/>
  <sheetViews>
    <sheetView zoomScale="80" zoomScaleNormal="80" zoomScaleSheetLayoutView="30" workbookViewId="0">
      <selection activeCell="AO14" sqref="AO14:AO15"/>
    </sheetView>
  </sheetViews>
  <sheetFormatPr defaultRowHeight="12.75"/>
  <cols>
    <col min="1" max="1" width="25.7109375" style="1" customWidth="1"/>
    <col min="2" max="2" width="24.85546875" style="1" customWidth="1"/>
    <col min="3" max="3" width="24.85546875" style="1" hidden="1" customWidth="1"/>
    <col min="4" max="4" width="22.5703125" style="1" hidden="1" customWidth="1"/>
    <col min="5" max="5" width="19.42578125" style="1" hidden="1" customWidth="1"/>
    <col min="6" max="6" width="19.28515625" style="1" hidden="1" customWidth="1"/>
    <col min="7" max="7" width="18.5703125" style="1" hidden="1" customWidth="1"/>
    <col min="8" max="8" width="19.7109375" style="1" hidden="1" customWidth="1"/>
    <col min="9" max="9" width="17.28515625" style="1" hidden="1" customWidth="1"/>
    <col min="10" max="10" width="16.85546875" style="1" hidden="1" customWidth="1"/>
    <col min="11" max="11" width="18.140625" style="1" hidden="1" customWidth="1"/>
    <col min="12" max="12" width="18" style="1" hidden="1" customWidth="1"/>
    <col min="13" max="13" width="17.7109375" style="1" hidden="1" customWidth="1"/>
    <col min="14" max="14" width="21.7109375" style="1" hidden="1" customWidth="1"/>
    <col min="15" max="16" width="21.5703125" style="1" hidden="1" customWidth="1"/>
    <col min="17" max="17" width="19.5703125" style="1" hidden="1" customWidth="1"/>
    <col min="18" max="18" width="19" style="1" hidden="1" customWidth="1"/>
    <col min="19" max="19" width="17.28515625" style="1" hidden="1" customWidth="1"/>
    <col min="20" max="20" width="15.28515625" style="1" hidden="1" customWidth="1"/>
    <col min="21" max="21" width="15.140625" style="1" hidden="1" customWidth="1"/>
    <col min="22" max="22" width="14.28515625" style="1" hidden="1" customWidth="1"/>
    <col min="23" max="23" width="16.5703125" style="1" hidden="1" customWidth="1"/>
    <col min="24" max="37" width="17.5703125" style="1" hidden="1" customWidth="1"/>
    <col min="38" max="38" width="23" style="1" hidden="1" customWidth="1"/>
    <col min="39" max="39" width="17.5703125" style="1" hidden="1" customWidth="1"/>
    <col min="40" max="40" width="11.28515625" style="1" hidden="1" customWidth="1"/>
    <col min="41" max="41" width="20.42578125" style="1" customWidth="1"/>
    <col min="42" max="42" width="20.140625" style="1" customWidth="1"/>
    <col min="43" max="16384" width="9.140625" style="1"/>
  </cols>
  <sheetData>
    <row r="1" spans="1:43" s="27" customFormat="1" ht="17.25" customHeight="1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5" t="s">
        <v>22</v>
      </c>
      <c r="AQ1" s="26"/>
    </row>
    <row r="2" spans="1:43" s="27" customFormat="1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30" t="s">
        <v>78</v>
      </c>
      <c r="AQ2" s="31"/>
    </row>
    <row r="3" spans="1:43" s="27" customFormat="1" ht="12.75" customHeight="1">
      <c r="A3" s="3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30" t="s">
        <v>0</v>
      </c>
      <c r="AQ3" s="31"/>
    </row>
    <row r="4" spans="1:43" s="27" customFormat="1" ht="12" customHeight="1">
      <c r="A4" s="28"/>
      <c r="B4" s="93" t="s">
        <v>82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31"/>
    </row>
    <row r="5" spans="1:43" s="27" customFormat="1" ht="15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P5" s="30" t="s">
        <v>1</v>
      </c>
    </row>
    <row r="6" spans="1:43" s="27" customFormat="1" ht="15.7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P6" s="30" t="s">
        <v>19</v>
      </c>
    </row>
    <row r="7" spans="1:43" ht="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3"/>
      <c r="AP7" s="3"/>
      <c r="AQ7" s="3"/>
    </row>
    <row r="8" spans="1:43" ht="75.75" customHeight="1">
      <c r="A8" s="86" t="s">
        <v>20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3"/>
    </row>
    <row r="9" spans="1:43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3"/>
    </row>
    <row r="10" spans="1:43" ht="15">
      <c r="A10" s="2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3"/>
      <c r="AP10" s="6" t="s">
        <v>34</v>
      </c>
      <c r="AQ10" s="3"/>
    </row>
    <row r="11" spans="1:43" ht="62.25" customHeight="1">
      <c r="A11" s="88" t="s">
        <v>35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3"/>
    </row>
    <row r="13" spans="1:43" ht="13.5" thickBot="1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P13" s="9" t="s">
        <v>3</v>
      </c>
    </row>
    <row r="14" spans="1:43" s="10" customFormat="1" ht="15" customHeight="1" thickBot="1">
      <c r="A14" s="81" t="s">
        <v>4</v>
      </c>
      <c r="B14" s="81">
        <v>2022</v>
      </c>
      <c r="C14" s="90" t="s">
        <v>36</v>
      </c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2"/>
      <c r="AO14" s="81">
        <v>2023</v>
      </c>
      <c r="AP14" s="81">
        <v>2024</v>
      </c>
    </row>
    <row r="15" spans="1:43" s="10" customFormat="1" ht="129" customHeight="1" thickBot="1">
      <c r="A15" s="87"/>
      <c r="B15" s="82"/>
      <c r="C15" s="45" t="s">
        <v>37</v>
      </c>
      <c r="D15" s="46" t="s">
        <v>38</v>
      </c>
      <c r="E15" s="47" t="s">
        <v>39</v>
      </c>
      <c r="F15" s="47" t="s">
        <v>40</v>
      </c>
      <c r="G15" s="47" t="s">
        <v>41</v>
      </c>
      <c r="H15" s="47" t="s">
        <v>42</v>
      </c>
      <c r="I15" s="47" t="s">
        <v>28</v>
      </c>
      <c r="J15" s="47" t="s">
        <v>43</v>
      </c>
      <c r="K15" s="47" t="s">
        <v>44</v>
      </c>
      <c r="L15" s="47" t="s">
        <v>45</v>
      </c>
      <c r="M15" s="47" t="s">
        <v>46</v>
      </c>
      <c r="N15" s="47" t="s">
        <v>47</v>
      </c>
      <c r="O15" s="47" t="s">
        <v>48</v>
      </c>
      <c r="P15" s="47" t="s">
        <v>49</v>
      </c>
      <c r="Q15" s="47" t="s">
        <v>50</v>
      </c>
      <c r="R15" s="47" t="s">
        <v>51</v>
      </c>
      <c r="S15" s="47" t="s">
        <v>52</v>
      </c>
      <c r="T15" s="47" t="s">
        <v>30</v>
      </c>
      <c r="U15" s="47" t="s">
        <v>53</v>
      </c>
      <c r="V15" s="47" t="s">
        <v>54</v>
      </c>
      <c r="W15" s="47" t="s">
        <v>55</v>
      </c>
      <c r="X15" s="47" t="s">
        <v>56</v>
      </c>
      <c r="Y15" s="47" t="s">
        <v>57</v>
      </c>
      <c r="Z15" s="47" t="s">
        <v>58</v>
      </c>
      <c r="AA15" s="47" t="s">
        <v>59</v>
      </c>
      <c r="AB15" s="47" t="s">
        <v>60</v>
      </c>
      <c r="AC15" s="47" t="s">
        <v>61</v>
      </c>
      <c r="AD15" s="47" t="s">
        <v>67</v>
      </c>
      <c r="AE15" s="47" t="s">
        <v>68</v>
      </c>
      <c r="AF15" s="47" t="s">
        <v>69</v>
      </c>
      <c r="AG15" s="47" t="s">
        <v>27</v>
      </c>
      <c r="AH15" s="47" t="s">
        <v>71</v>
      </c>
      <c r="AI15" s="47" t="s">
        <v>72</v>
      </c>
      <c r="AJ15" s="47" t="s">
        <v>75</v>
      </c>
      <c r="AK15" s="47" t="s">
        <v>77</v>
      </c>
      <c r="AL15" s="47" t="s">
        <v>79</v>
      </c>
      <c r="AM15" s="47" t="s">
        <v>80</v>
      </c>
      <c r="AN15" s="48"/>
      <c r="AO15" s="82"/>
      <c r="AP15" s="82"/>
    </row>
    <row r="16" spans="1:43" s="10" customFormat="1" ht="18" customHeight="1">
      <c r="A16" s="58" t="s">
        <v>5</v>
      </c>
      <c r="B16" s="76">
        <f>SUM(C16:AN16)</f>
        <v>9234.9877199999992</v>
      </c>
      <c r="C16" s="61"/>
      <c r="D16" s="61"/>
      <c r="E16" s="61">
        <f>2621.37153+472.8+420+2000+1100</f>
        <v>6614.1715299999996</v>
      </c>
      <c r="F16" s="61"/>
      <c r="G16" s="61"/>
      <c r="H16" s="61"/>
      <c r="I16" s="61">
        <f>4500-4500</f>
        <v>0</v>
      </c>
      <c r="J16" s="61"/>
      <c r="K16" s="61"/>
      <c r="L16" s="61"/>
      <c r="M16" s="61">
        <v>1360</v>
      </c>
      <c r="N16" s="61">
        <v>76.816190000000006</v>
      </c>
      <c r="O16" s="61"/>
      <c r="P16" s="61"/>
      <c r="Q16" s="61"/>
      <c r="R16" s="61"/>
      <c r="S16" s="61"/>
      <c r="T16" s="61"/>
      <c r="U16" s="61">
        <v>182</v>
      </c>
      <c r="V16" s="61"/>
      <c r="W16" s="61"/>
      <c r="X16" s="61"/>
      <c r="Y16" s="61">
        <v>55</v>
      </c>
      <c r="Z16" s="62">
        <f>11.299-11.299</f>
        <v>0</v>
      </c>
      <c r="AA16" s="61">
        <v>100</v>
      </c>
      <c r="AB16" s="61"/>
      <c r="AC16" s="61"/>
      <c r="AD16" s="61"/>
      <c r="AE16" s="61">
        <v>240</v>
      </c>
      <c r="AF16" s="61"/>
      <c r="AG16" s="61"/>
      <c r="AH16" s="61">
        <v>490</v>
      </c>
      <c r="AI16" s="61">
        <v>117</v>
      </c>
      <c r="AJ16" s="61"/>
      <c r="AK16" s="61"/>
      <c r="AL16" s="61"/>
      <c r="AM16" s="61"/>
      <c r="AN16" s="61"/>
      <c r="AO16" s="61"/>
      <c r="AP16" s="64"/>
    </row>
    <row r="17" spans="1:42" s="10" customFormat="1" ht="15">
      <c r="A17" s="59" t="s">
        <v>6</v>
      </c>
      <c r="B17" s="76">
        <f>SUM(C17:AN17)</f>
        <v>3139.6477600000003</v>
      </c>
      <c r="C17" s="63">
        <v>69.8</v>
      </c>
      <c r="D17" s="63">
        <v>310</v>
      </c>
      <c r="E17" s="63">
        <f>741.092+1907.15</f>
        <v>2648.2420000000002</v>
      </c>
      <c r="F17" s="63">
        <v>99</v>
      </c>
      <c r="G17" s="63"/>
      <c r="H17" s="63"/>
      <c r="I17" s="63"/>
      <c r="J17" s="63"/>
      <c r="K17" s="63"/>
      <c r="L17" s="63">
        <f>10.58576+2.02</f>
        <v>12.60576</v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</row>
    <row r="18" spans="1:42" s="10" customFormat="1" ht="15">
      <c r="A18" s="59" t="s">
        <v>7</v>
      </c>
      <c r="B18" s="76">
        <f t="shared" ref="B18:B27" si="0">SUM(C18:AN18)</f>
        <v>722.18088</v>
      </c>
      <c r="C18" s="63">
        <v>23.4</v>
      </c>
      <c r="D18" s="63">
        <v>315.5</v>
      </c>
      <c r="E18" s="63"/>
      <c r="F18" s="63"/>
      <c r="G18" s="63"/>
      <c r="H18" s="63">
        <v>350</v>
      </c>
      <c r="I18" s="63"/>
      <c r="J18" s="63"/>
      <c r="K18" s="63"/>
      <c r="L18" s="63">
        <v>5.74411</v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>
        <v>18.2</v>
      </c>
      <c r="AE18" s="63"/>
      <c r="AF18" s="63"/>
      <c r="AG18" s="63">
        <v>0.86226000000000003</v>
      </c>
      <c r="AH18" s="63"/>
      <c r="AI18" s="63"/>
      <c r="AJ18" s="63"/>
      <c r="AK18" s="65">
        <v>8.4745100000000004</v>
      </c>
      <c r="AL18" s="63"/>
      <c r="AM18" s="63"/>
      <c r="AN18" s="63"/>
      <c r="AO18" s="63"/>
      <c r="AP18" s="63"/>
    </row>
    <row r="19" spans="1:42" s="10" customFormat="1" ht="15">
      <c r="A19" s="59" t="s">
        <v>8</v>
      </c>
      <c r="B19" s="76">
        <f t="shared" si="0"/>
        <v>515.18154000000004</v>
      </c>
      <c r="C19" s="63">
        <v>35.200000000000003</v>
      </c>
      <c r="D19" s="63">
        <f>300</f>
        <v>300</v>
      </c>
      <c r="E19" s="63"/>
      <c r="F19" s="63"/>
      <c r="G19" s="63"/>
      <c r="H19" s="63"/>
      <c r="I19" s="63"/>
      <c r="J19" s="63">
        <v>104</v>
      </c>
      <c r="K19" s="63">
        <v>70</v>
      </c>
      <c r="L19" s="63">
        <v>5.9815399999999999</v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5"/>
      <c r="AL19" s="63"/>
      <c r="AM19" s="63"/>
      <c r="AN19" s="63"/>
      <c r="AO19" s="63"/>
      <c r="AP19" s="63"/>
    </row>
    <row r="20" spans="1:42" s="10" customFormat="1" ht="15">
      <c r="A20" s="59" t="s">
        <v>9</v>
      </c>
      <c r="B20" s="76">
        <f t="shared" si="0"/>
        <v>773.95508000000007</v>
      </c>
      <c r="C20" s="63">
        <v>28.6</v>
      </c>
      <c r="D20" s="63">
        <v>300</v>
      </c>
      <c r="E20" s="63">
        <v>410</v>
      </c>
      <c r="F20" s="63"/>
      <c r="G20" s="63"/>
      <c r="H20" s="63"/>
      <c r="I20" s="63"/>
      <c r="J20" s="63"/>
      <c r="K20" s="63"/>
      <c r="L20" s="63">
        <v>0</v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>
        <v>26.880569999999999</v>
      </c>
      <c r="AH20" s="63"/>
      <c r="AI20" s="63"/>
      <c r="AJ20" s="63"/>
      <c r="AK20" s="65">
        <v>8.4745100000000004</v>
      </c>
      <c r="AL20" s="63"/>
      <c r="AM20" s="63"/>
      <c r="AN20" s="63"/>
      <c r="AO20" s="63"/>
      <c r="AP20" s="63"/>
    </row>
    <row r="21" spans="1:42" s="10" customFormat="1" ht="15">
      <c r="A21" s="59" t="s">
        <v>10</v>
      </c>
      <c r="B21" s="76">
        <f t="shared" si="0"/>
        <v>591.37628000000007</v>
      </c>
      <c r="C21" s="63">
        <v>39.6</v>
      </c>
      <c r="D21" s="63">
        <v>320.14926000000003</v>
      </c>
      <c r="E21" s="63"/>
      <c r="F21" s="63"/>
      <c r="G21" s="63"/>
      <c r="H21" s="63"/>
      <c r="I21" s="63"/>
      <c r="J21" s="63">
        <v>156</v>
      </c>
      <c r="K21" s="63">
        <v>70</v>
      </c>
      <c r="L21" s="63">
        <v>5.6270199999999999</v>
      </c>
      <c r="M21" s="63"/>
      <c r="N21" s="63"/>
      <c r="O21" s="63"/>
      <c r="P21" s="63"/>
      <c r="Q21" s="63"/>
      <c r="R21" s="63"/>
      <c r="S21" s="63"/>
      <c r="T21" s="63"/>
      <c r="U21" s="63"/>
      <c r="V21" s="63">
        <v>0</v>
      </c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</row>
    <row r="22" spans="1:42" s="15" customFormat="1" ht="15">
      <c r="A22" s="59" t="s">
        <v>11</v>
      </c>
      <c r="B22" s="76">
        <f t="shared" si="0"/>
        <v>880.85785999999996</v>
      </c>
      <c r="C22" s="63">
        <v>44.5</v>
      </c>
      <c r="D22" s="63">
        <v>200</v>
      </c>
      <c r="E22" s="63"/>
      <c r="F22" s="63"/>
      <c r="G22" s="63"/>
      <c r="H22" s="63"/>
      <c r="I22" s="63"/>
      <c r="J22" s="63">
        <f>52-52</f>
        <v>0</v>
      </c>
      <c r="K22" s="63"/>
      <c r="L22" s="63">
        <v>6.3578599999999996</v>
      </c>
      <c r="M22" s="63"/>
      <c r="N22" s="63"/>
      <c r="O22" s="63"/>
      <c r="P22" s="63"/>
      <c r="Q22" s="63"/>
      <c r="R22" s="63"/>
      <c r="S22" s="63">
        <v>480</v>
      </c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5">
        <v>150</v>
      </c>
      <c r="AM22" s="63"/>
      <c r="AN22" s="63"/>
      <c r="AO22" s="63"/>
      <c r="AP22" s="63"/>
    </row>
    <row r="23" spans="1:42" s="10" customFormat="1" ht="15">
      <c r="A23" s="59" t="s">
        <v>12</v>
      </c>
      <c r="B23" s="76">
        <f t="shared" si="0"/>
        <v>1289.9136099999998</v>
      </c>
      <c r="C23" s="63">
        <v>60.1</v>
      </c>
      <c r="D23" s="63">
        <v>305</v>
      </c>
      <c r="E23" s="63">
        <v>875.54</v>
      </c>
      <c r="F23" s="63">
        <v>37.783000000000001</v>
      </c>
      <c r="G23" s="63"/>
      <c r="H23" s="63"/>
      <c r="I23" s="63"/>
      <c r="J23" s="63"/>
      <c r="K23" s="63"/>
      <c r="L23" s="63">
        <v>11.49061</v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</row>
    <row r="24" spans="1:42" s="10" customFormat="1" ht="15">
      <c r="A24" s="59" t="s">
        <v>13</v>
      </c>
      <c r="B24" s="76">
        <f t="shared" si="0"/>
        <v>528.47136999999998</v>
      </c>
      <c r="C24" s="63">
        <v>30.2</v>
      </c>
      <c r="D24" s="63">
        <v>300</v>
      </c>
      <c r="E24" s="63"/>
      <c r="F24" s="63"/>
      <c r="G24" s="63"/>
      <c r="H24" s="63"/>
      <c r="I24" s="63"/>
      <c r="J24" s="63">
        <v>52</v>
      </c>
      <c r="K24" s="63">
        <v>70</v>
      </c>
      <c r="L24" s="63">
        <v>4.4353699999999998</v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>
        <v>71.835999999999999</v>
      </c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</row>
    <row r="25" spans="1:42" s="10" customFormat="1" ht="15">
      <c r="A25" s="59" t="s">
        <v>14</v>
      </c>
      <c r="B25" s="76">
        <f t="shared" si="0"/>
        <v>646.81877000000009</v>
      </c>
      <c r="C25" s="63">
        <v>82.1</v>
      </c>
      <c r="D25" s="63">
        <v>247.33808999999999</v>
      </c>
      <c r="E25" s="63">
        <v>213.137</v>
      </c>
      <c r="F25" s="63"/>
      <c r="G25" s="63"/>
      <c r="H25" s="63"/>
      <c r="I25" s="63"/>
      <c r="J25" s="63"/>
      <c r="K25" s="63"/>
      <c r="L25" s="63">
        <v>5.60168</v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5">
        <v>98.641999999999996</v>
      </c>
      <c r="AN25" s="63"/>
      <c r="AO25" s="63"/>
      <c r="AP25" s="63"/>
    </row>
    <row r="26" spans="1:42" s="10" customFormat="1" ht="15">
      <c r="A26" s="59" t="s">
        <v>15</v>
      </c>
      <c r="B26" s="76">
        <f t="shared" si="0"/>
        <v>556.11364000000003</v>
      </c>
      <c r="C26" s="63">
        <v>24.8</v>
      </c>
      <c r="D26" s="63">
        <v>264</v>
      </c>
      <c r="E26" s="63"/>
      <c r="F26" s="63"/>
      <c r="G26" s="63"/>
      <c r="H26" s="63"/>
      <c r="I26" s="63"/>
      <c r="J26" s="63"/>
      <c r="K26" s="63">
        <v>70</v>
      </c>
      <c r="L26" s="63">
        <v>6.7704300000000002</v>
      </c>
      <c r="M26" s="63"/>
      <c r="N26" s="63"/>
      <c r="O26" s="63"/>
      <c r="P26" s="63"/>
      <c r="Q26" s="63"/>
      <c r="R26" s="63">
        <v>55</v>
      </c>
      <c r="S26" s="63"/>
      <c r="T26" s="63">
        <v>135.54320999999999</v>
      </c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</row>
    <row r="27" spans="1:42" s="10" customFormat="1" ht="15.75" thickBot="1">
      <c r="A27" s="60" t="s">
        <v>16</v>
      </c>
      <c r="B27" s="76">
        <f t="shared" si="0"/>
        <v>6141.0811300000005</v>
      </c>
      <c r="C27" s="63">
        <v>61.7</v>
      </c>
      <c r="D27" s="63">
        <v>300</v>
      </c>
      <c r="E27" s="63">
        <v>244.04</v>
      </c>
      <c r="F27" s="63">
        <v>276</v>
      </c>
      <c r="G27" s="63">
        <v>2500</v>
      </c>
      <c r="H27" s="63"/>
      <c r="I27" s="63"/>
      <c r="J27" s="63"/>
      <c r="K27" s="63"/>
      <c r="L27" s="63">
        <v>15.21213</v>
      </c>
      <c r="M27" s="63"/>
      <c r="N27" s="63"/>
      <c r="O27" s="63">
        <v>3.8</v>
      </c>
      <c r="P27" s="63">
        <v>128</v>
      </c>
      <c r="Q27" s="63">
        <v>27.64</v>
      </c>
      <c r="R27" s="63"/>
      <c r="S27" s="63"/>
      <c r="T27" s="63"/>
      <c r="U27" s="63"/>
      <c r="V27" s="63"/>
      <c r="W27" s="63"/>
      <c r="X27" s="63">
        <v>1442</v>
      </c>
      <c r="Y27" s="63"/>
      <c r="Z27" s="65">
        <v>11.298999999999999</v>
      </c>
      <c r="AA27" s="63"/>
      <c r="AB27" s="63">
        <v>10</v>
      </c>
      <c r="AC27" s="63">
        <v>163.84</v>
      </c>
      <c r="AD27" s="63"/>
      <c r="AE27" s="63"/>
      <c r="AF27" s="63">
        <v>800</v>
      </c>
      <c r="AG27" s="63"/>
      <c r="AH27" s="63"/>
      <c r="AI27" s="63"/>
      <c r="AJ27" s="65">
        <v>157.55000000000001</v>
      </c>
      <c r="AK27" s="63"/>
      <c r="AL27" s="63"/>
      <c r="AM27" s="63"/>
      <c r="AN27" s="63"/>
      <c r="AO27" s="63"/>
      <c r="AP27" s="63"/>
    </row>
    <row r="28" spans="1:42" s="17" customFormat="1" ht="15.75" thickBot="1">
      <c r="A28" s="49" t="s">
        <v>17</v>
      </c>
      <c r="B28" s="75">
        <f>SUM(B16:B27)</f>
        <v>25020.585639999998</v>
      </c>
      <c r="C28" s="55">
        <f t="shared" ref="C28" si="1">SUM(C16:C27)</f>
        <v>500</v>
      </c>
      <c r="D28" s="55">
        <f>SUM(D16:D27)</f>
        <v>3161.9873500000003</v>
      </c>
      <c r="E28" s="55">
        <f t="shared" ref="E28:AN28" si="2">SUM(E16:E27)</f>
        <v>11005.13053</v>
      </c>
      <c r="F28" s="55">
        <f t="shared" si="2"/>
        <v>412.78300000000002</v>
      </c>
      <c r="G28" s="55">
        <f t="shared" si="2"/>
        <v>2500</v>
      </c>
      <c r="H28" s="55">
        <f t="shared" si="2"/>
        <v>350</v>
      </c>
      <c r="I28" s="55">
        <f t="shared" si="2"/>
        <v>0</v>
      </c>
      <c r="J28" s="55">
        <f t="shared" si="2"/>
        <v>312</v>
      </c>
      <c r="K28" s="55">
        <f t="shared" si="2"/>
        <v>280</v>
      </c>
      <c r="L28" s="55">
        <f t="shared" si="2"/>
        <v>79.826509999999999</v>
      </c>
      <c r="M28" s="55">
        <f t="shared" si="2"/>
        <v>1360</v>
      </c>
      <c r="N28" s="55">
        <f t="shared" si="2"/>
        <v>76.816190000000006</v>
      </c>
      <c r="O28" s="55">
        <f t="shared" si="2"/>
        <v>3.8</v>
      </c>
      <c r="P28" s="55">
        <f t="shared" si="2"/>
        <v>128</v>
      </c>
      <c r="Q28" s="55">
        <f t="shared" si="2"/>
        <v>27.64</v>
      </c>
      <c r="R28" s="55">
        <f t="shared" si="2"/>
        <v>55</v>
      </c>
      <c r="S28" s="55">
        <f t="shared" si="2"/>
        <v>480</v>
      </c>
      <c r="T28" s="55">
        <f t="shared" si="2"/>
        <v>135.54320999999999</v>
      </c>
      <c r="U28" s="55">
        <f t="shared" si="2"/>
        <v>182</v>
      </c>
      <c r="V28" s="55">
        <f t="shared" si="2"/>
        <v>0</v>
      </c>
      <c r="W28" s="55">
        <f t="shared" si="2"/>
        <v>71.835999999999999</v>
      </c>
      <c r="X28" s="55">
        <f t="shared" si="2"/>
        <v>1442</v>
      </c>
      <c r="Y28" s="55">
        <f t="shared" si="2"/>
        <v>55</v>
      </c>
      <c r="Z28" s="55">
        <f t="shared" si="2"/>
        <v>11.298999999999999</v>
      </c>
      <c r="AA28" s="55">
        <f t="shared" si="2"/>
        <v>100</v>
      </c>
      <c r="AB28" s="55">
        <f t="shared" si="2"/>
        <v>10</v>
      </c>
      <c r="AC28" s="55">
        <f t="shared" si="2"/>
        <v>163.84</v>
      </c>
      <c r="AD28" s="55">
        <f t="shared" si="2"/>
        <v>18.2</v>
      </c>
      <c r="AE28" s="55">
        <f t="shared" si="2"/>
        <v>240</v>
      </c>
      <c r="AF28" s="55">
        <f>SUM(AF16:AF27)</f>
        <v>800</v>
      </c>
      <c r="AG28" s="55">
        <f t="shared" ref="AG28:AM28" si="3">SUM(AG16:AG27)</f>
        <v>27.742829999999998</v>
      </c>
      <c r="AH28" s="55">
        <f t="shared" si="3"/>
        <v>490</v>
      </c>
      <c r="AI28" s="55">
        <f t="shared" si="3"/>
        <v>117</v>
      </c>
      <c r="AJ28" s="55">
        <f t="shared" si="3"/>
        <v>157.55000000000001</v>
      </c>
      <c r="AK28" s="55">
        <f t="shared" si="3"/>
        <v>16.949020000000001</v>
      </c>
      <c r="AL28" s="55">
        <f t="shared" si="3"/>
        <v>150</v>
      </c>
      <c r="AM28" s="55">
        <f t="shared" si="3"/>
        <v>98.641999999999996</v>
      </c>
      <c r="AN28" s="55">
        <f t="shared" si="2"/>
        <v>0</v>
      </c>
      <c r="AO28" s="55">
        <f>SUM(AO16:AO27)</f>
        <v>0</v>
      </c>
      <c r="AP28" s="55">
        <f>SUM(AP16:AP27)</f>
        <v>0</v>
      </c>
    </row>
    <row r="29" spans="1:42" s="10" customFormat="1">
      <c r="A29" s="50"/>
      <c r="B29" s="43"/>
      <c r="C29" s="51"/>
      <c r="D29" s="51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37"/>
      <c r="AP29" s="37"/>
    </row>
    <row r="30" spans="1:42" s="18" customFormat="1"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O30" s="52"/>
    </row>
    <row r="31" spans="1:42" s="19" customFormat="1"/>
    <row r="32" spans="1:42" s="20" customFormat="1">
      <c r="A32" s="89" t="s">
        <v>18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</row>
    <row r="34" spans="2:42">
      <c r="AP34" s="21"/>
    </row>
    <row r="35" spans="2:4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1"/>
      <c r="AP35" s="21"/>
    </row>
  </sheetData>
  <mergeCells count="9">
    <mergeCell ref="B4:AP4"/>
    <mergeCell ref="A32:AP32"/>
    <mergeCell ref="A8:AP8"/>
    <mergeCell ref="A11:AP11"/>
    <mergeCell ref="A14:A15"/>
    <mergeCell ref="B14:B15"/>
    <mergeCell ref="C14:AN14"/>
    <mergeCell ref="AO14:AO15"/>
    <mergeCell ref="AP14:AP15"/>
  </mergeCells>
  <printOptions horizontalCentered="1"/>
  <pageMargins left="0.98425196850393704" right="0.59055118110236227" top="0.78740157480314965" bottom="0.78740157480314965" header="0" footer="0"/>
  <pageSetup paperSize="9" scale="75" fitToWidth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tabSelected="1" zoomScaleSheetLayoutView="100" workbookViewId="0">
      <selection activeCell="E14" sqref="E14:E15"/>
    </sheetView>
  </sheetViews>
  <sheetFormatPr defaultRowHeight="12.75"/>
  <cols>
    <col min="1" max="1" width="25.7109375" style="1" customWidth="1"/>
    <col min="2" max="2" width="24.85546875" style="1" customWidth="1"/>
    <col min="3" max="3" width="32.85546875" style="1" hidden="1" customWidth="1"/>
    <col min="4" max="4" width="24.85546875" style="1" hidden="1" customWidth="1"/>
    <col min="5" max="6" width="24.85546875" style="1" customWidth="1"/>
    <col min="7" max="16384" width="9.140625" style="1"/>
  </cols>
  <sheetData>
    <row r="1" spans="1:6" s="27" customFormat="1" ht="17.25" customHeight="1">
      <c r="A1" s="23"/>
      <c r="B1" s="24"/>
      <c r="C1" s="24"/>
      <c r="D1" s="24"/>
      <c r="E1" s="24"/>
      <c r="F1" s="25" t="s">
        <v>22</v>
      </c>
    </row>
    <row r="2" spans="1:6" s="27" customFormat="1" ht="12" customHeight="1">
      <c r="A2" s="28"/>
      <c r="B2" s="29"/>
      <c r="C2" s="29"/>
      <c r="D2" s="29"/>
      <c r="E2" s="29"/>
      <c r="F2" s="30" t="s">
        <v>78</v>
      </c>
    </row>
    <row r="3" spans="1:6" s="27" customFormat="1" ht="12.75" customHeight="1">
      <c r="A3" s="32"/>
      <c r="B3" s="29"/>
      <c r="C3" s="29"/>
      <c r="D3" s="29"/>
      <c r="E3" s="29"/>
      <c r="F3" s="30" t="s">
        <v>0</v>
      </c>
    </row>
    <row r="4" spans="1:6" s="27" customFormat="1" ht="12" customHeight="1">
      <c r="A4" s="28"/>
      <c r="B4" s="93" t="s">
        <v>82</v>
      </c>
      <c r="C4" s="94"/>
      <c r="D4" s="94"/>
      <c r="E4" s="94"/>
      <c r="F4" s="94"/>
    </row>
    <row r="5" spans="1:6" s="27" customFormat="1" ht="15.75">
      <c r="A5" s="33"/>
      <c r="B5" s="33"/>
      <c r="C5" s="33"/>
      <c r="D5" s="33"/>
      <c r="F5" s="30" t="s">
        <v>1</v>
      </c>
    </row>
    <row r="6" spans="1:6" s="27" customFormat="1" ht="15.75">
      <c r="A6" s="33"/>
      <c r="B6" s="33"/>
      <c r="C6" s="33"/>
      <c r="D6" s="33"/>
      <c r="F6" s="30" t="s">
        <v>19</v>
      </c>
    </row>
    <row r="7" spans="1:6" ht="15">
      <c r="A7" s="2"/>
      <c r="B7" s="2"/>
      <c r="C7" s="2"/>
      <c r="D7" s="2"/>
      <c r="E7" s="3"/>
      <c r="F7" s="3"/>
    </row>
    <row r="8" spans="1:6" ht="75.75" customHeight="1">
      <c r="A8" s="86" t="s">
        <v>20</v>
      </c>
      <c r="B8" s="86"/>
      <c r="C8" s="86"/>
      <c r="D8" s="86"/>
      <c r="E8" s="86"/>
      <c r="F8" s="86"/>
    </row>
    <row r="9" spans="1:6" ht="15" customHeight="1">
      <c r="A9" s="4"/>
      <c r="B9" s="4"/>
      <c r="C9" s="4"/>
      <c r="D9" s="4"/>
      <c r="E9" s="4"/>
      <c r="F9" s="4"/>
    </row>
    <row r="10" spans="1:6" ht="15">
      <c r="A10" s="2"/>
      <c r="B10" s="5"/>
      <c r="C10" s="5"/>
      <c r="D10" s="5"/>
      <c r="E10" s="3"/>
      <c r="F10" s="6" t="s">
        <v>63</v>
      </c>
    </row>
    <row r="11" spans="1:6" ht="62.25" customHeight="1">
      <c r="A11" s="88" t="s">
        <v>64</v>
      </c>
      <c r="B11" s="88"/>
      <c r="C11" s="88"/>
      <c r="D11" s="88"/>
      <c r="E11" s="88"/>
      <c r="F11" s="88"/>
    </row>
    <row r="13" spans="1:6" ht="13.5" thickBot="1">
      <c r="A13" s="7"/>
      <c r="B13" s="8"/>
      <c r="C13" s="8"/>
      <c r="D13" s="8"/>
      <c r="F13" s="9" t="s">
        <v>3</v>
      </c>
    </row>
    <row r="14" spans="1:6" s="10" customFormat="1" ht="15" customHeight="1" thickBot="1">
      <c r="A14" s="81" t="s">
        <v>4</v>
      </c>
      <c r="B14" s="81">
        <v>2022</v>
      </c>
      <c r="C14" s="90" t="s">
        <v>36</v>
      </c>
      <c r="D14" s="92"/>
      <c r="E14" s="81">
        <v>2023</v>
      </c>
      <c r="F14" s="81">
        <v>2024</v>
      </c>
    </row>
    <row r="15" spans="1:6" s="10" customFormat="1" ht="45" customHeight="1" thickBot="1">
      <c r="A15" s="87"/>
      <c r="B15" s="82"/>
      <c r="C15" s="45" t="s">
        <v>65</v>
      </c>
      <c r="D15" s="53" t="s">
        <v>66</v>
      </c>
      <c r="E15" s="82"/>
      <c r="F15" s="82"/>
    </row>
    <row r="16" spans="1:6" s="10" customFormat="1" ht="18" customHeight="1">
      <c r="A16" s="11" t="s">
        <v>5</v>
      </c>
      <c r="B16" s="76">
        <f>C16+D16</f>
        <v>95858.572190000006</v>
      </c>
      <c r="C16" s="61"/>
      <c r="D16" s="62">
        <f>93444.2+3893.5656+23975.87058-25455.06399</f>
        <v>95858.572190000006</v>
      </c>
      <c r="E16" s="54"/>
      <c r="F16" s="12"/>
    </row>
    <row r="17" spans="1:6" s="10" customFormat="1" ht="15">
      <c r="A17" s="13" t="s">
        <v>6</v>
      </c>
      <c r="B17" s="76">
        <f t="shared" ref="B17:B27" si="0">C17+D17</f>
        <v>0</v>
      </c>
      <c r="C17" s="63"/>
      <c r="D17" s="63"/>
      <c r="E17" s="14"/>
      <c r="F17" s="14"/>
    </row>
    <row r="18" spans="1:6" s="10" customFormat="1" ht="15">
      <c r="A18" s="13" t="s">
        <v>7</v>
      </c>
      <c r="B18" s="76">
        <f t="shared" si="0"/>
        <v>0</v>
      </c>
      <c r="C18" s="63"/>
      <c r="D18" s="63"/>
      <c r="E18" s="14"/>
      <c r="F18" s="14"/>
    </row>
    <row r="19" spans="1:6" s="10" customFormat="1" ht="15">
      <c r="A19" s="13" t="s">
        <v>8</v>
      </c>
      <c r="B19" s="76">
        <f t="shared" si="0"/>
        <v>949.68049999999994</v>
      </c>
      <c r="C19" s="63">
        <f>699.76+249.9+0.0205</f>
        <v>949.68049999999994</v>
      </c>
      <c r="D19" s="63"/>
      <c r="E19" s="14"/>
      <c r="F19" s="14"/>
    </row>
    <row r="20" spans="1:6" s="10" customFormat="1" ht="15">
      <c r="A20" s="13" t="s">
        <v>9</v>
      </c>
      <c r="B20" s="76">
        <f t="shared" si="0"/>
        <v>1281.3755000000001</v>
      </c>
      <c r="C20" s="63">
        <f>1195.95+85.4+0.0255</f>
        <v>1281.3755000000001</v>
      </c>
      <c r="D20" s="63"/>
      <c r="E20" s="14"/>
      <c r="F20" s="14"/>
    </row>
    <row r="21" spans="1:6" s="10" customFormat="1" ht="15">
      <c r="A21" s="13" t="s">
        <v>10</v>
      </c>
      <c r="B21" s="76">
        <f t="shared" si="0"/>
        <v>0</v>
      </c>
      <c r="C21" s="63"/>
      <c r="D21" s="63"/>
      <c r="E21" s="14"/>
      <c r="F21" s="14"/>
    </row>
    <row r="22" spans="1:6" s="15" customFormat="1" ht="15">
      <c r="A22" s="13" t="s">
        <v>11</v>
      </c>
      <c r="B22" s="76">
        <f t="shared" si="0"/>
        <v>1750.7804999999998</v>
      </c>
      <c r="C22" s="63">
        <f>1634.1+116.7-0.0195</f>
        <v>1750.7804999999998</v>
      </c>
      <c r="D22" s="63"/>
      <c r="E22" s="14"/>
      <c r="F22" s="14"/>
    </row>
    <row r="23" spans="1:6" s="10" customFormat="1" ht="15">
      <c r="A23" s="13" t="s">
        <v>12</v>
      </c>
      <c r="B23" s="76">
        <f t="shared" si="0"/>
        <v>2142.85</v>
      </c>
      <c r="C23" s="63">
        <f>1999.984+142.9-0.034</f>
        <v>2142.85</v>
      </c>
      <c r="D23" s="63"/>
      <c r="E23" s="14"/>
      <c r="F23" s="14"/>
    </row>
    <row r="24" spans="1:6" s="10" customFormat="1" ht="15">
      <c r="A24" s="13" t="s">
        <v>13</v>
      </c>
      <c r="B24" s="76">
        <f t="shared" si="0"/>
        <v>0</v>
      </c>
      <c r="C24" s="63"/>
      <c r="D24" s="63"/>
      <c r="E24" s="14"/>
      <c r="F24" s="14"/>
    </row>
    <row r="25" spans="1:6" s="10" customFormat="1" ht="15">
      <c r="A25" s="13" t="s">
        <v>14</v>
      </c>
      <c r="B25" s="76">
        <f t="shared" si="0"/>
        <v>0</v>
      </c>
      <c r="C25" s="63"/>
      <c r="D25" s="63"/>
      <c r="E25" s="14"/>
      <c r="F25" s="14"/>
    </row>
    <row r="26" spans="1:6" s="10" customFormat="1" ht="15">
      <c r="A26" s="13" t="s">
        <v>15</v>
      </c>
      <c r="B26" s="76">
        <f t="shared" si="0"/>
        <v>1064.6699999999998</v>
      </c>
      <c r="C26" s="63">
        <f>993.6625+71+0.0075</f>
        <v>1064.6699999999998</v>
      </c>
      <c r="D26" s="63"/>
      <c r="E26" s="14"/>
      <c r="F26" s="14"/>
    </row>
    <row r="27" spans="1:6" s="10" customFormat="1" ht="15.75" thickBot="1">
      <c r="A27" s="16" t="s">
        <v>16</v>
      </c>
      <c r="B27" s="76">
        <f t="shared" si="0"/>
        <v>0</v>
      </c>
      <c r="C27" s="63"/>
      <c r="D27" s="63"/>
      <c r="E27" s="14"/>
      <c r="F27" s="14"/>
    </row>
    <row r="28" spans="1:6" s="17" customFormat="1" ht="15.75" thickBot="1">
      <c r="A28" s="49" t="s">
        <v>17</v>
      </c>
      <c r="B28" s="75">
        <f>SUM(B16:B27)</f>
        <v>103047.92869</v>
      </c>
      <c r="C28" s="55">
        <f t="shared" ref="C28:D28" si="1">SUM(C16:C27)</f>
        <v>7189.3564999999999</v>
      </c>
      <c r="D28" s="55">
        <f t="shared" si="1"/>
        <v>95858.572190000006</v>
      </c>
      <c r="E28" s="56">
        <f>SUM(E16:E27)</f>
        <v>0</v>
      </c>
      <c r="F28" s="56">
        <f>SUM(F16:F27)</f>
        <v>0</v>
      </c>
    </row>
    <row r="29" spans="1:6" s="10" customFormat="1">
      <c r="A29" s="50"/>
      <c r="B29" s="50"/>
      <c r="C29" s="57"/>
      <c r="D29" s="57"/>
    </row>
    <row r="30" spans="1:6" s="18" customFormat="1">
      <c r="E30" s="52"/>
    </row>
    <row r="31" spans="1:6" s="19" customFormat="1"/>
    <row r="32" spans="1:6" s="20" customFormat="1">
      <c r="A32" s="89" t="s">
        <v>18</v>
      </c>
      <c r="B32" s="89"/>
      <c r="C32" s="89"/>
      <c r="D32" s="89"/>
      <c r="E32" s="89"/>
      <c r="F32" s="89"/>
    </row>
    <row r="34" spans="2:6">
      <c r="F34" s="21"/>
    </row>
    <row r="35" spans="2:6">
      <c r="B35" s="22"/>
      <c r="C35" s="22"/>
      <c r="D35" s="22"/>
      <c r="E35" s="21"/>
      <c r="F35" s="21"/>
    </row>
  </sheetData>
  <mergeCells count="9">
    <mergeCell ref="B4:F4"/>
    <mergeCell ref="A32:F32"/>
    <mergeCell ref="A8:F8"/>
    <mergeCell ref="A11:F11"/>
    <mergeCell ref="A14:A15"/>
    <mergeCell ref="B14:B15"/>
    <mergeCell ref="C14:D14"/>
    <mergeCell ref="E14:E15"/>
    <mergeCell ref="F14:F15"/>
  </mergeCells>
  <printOptions horizontalCentered="1"/>
  <pageMargins left="1.1811023622047245" right="0.59055118110236227" top="0.78740157480314965" bottom="0.78740157480314965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таблица 1 </vt:lpstr>
      <vt:lpstr>таблица 3</vt:lpstr>
      <vt:lpstr>таблица 4</vt:lpstr>
      <vt:lpstr>'таблица 3'!Заголовки_для_печати</vt:lpstr>
      <vt:lpstr>'таблица 1 '!Область_печати</vt:lpstr>
      <vt:lpstr>'таблица 3'!Область_печати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lyapustina_tv</dc:creator>
  <cp:lastModifiedBy>uristdem</cp:lastModifiedBy>
  <cp:lastPrinted>2022-11-29T02:43:05Z</cp:lastPrinted>
  <dcterms:created xsi:type="dcterms:W3CDTF">2019-11-08T03:30:05Z</dcterms:created>
  <dcterms:modified xsi:type="dcterms:W3CDTF">2022-11-29T02:45:14Z</dcterms:modified>
</cp:coreProperties>
</file>