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7995"/>
  </bookViews>
  <sheets>
    <sheet name="таблица 1 " sheetId="12" r:id="rId1"/>
    <sheet name="таблица 3" sheetId="13" r:id="rId2"/>
    <sheet name="таблица 4" sheetId="14" r:id="rId3"/>
  </sheets>
  <definedNames>
    <definedName name="_xlnm.Print_Area" localSheetId="0">'таблица 1 '!$A$1:$S$32</definedName>
    <definedName name="_xlnm.Print_Area" localSheetId="1">'таблица 3'!$A$1:$AM$32</definedName>
    <definedName name="_xlnm.Print_Area" localSheetId="2">'таблица 4'!$A$1:$F$32</definedName>
  </definedNames>
  <calcPr calcId="124519"/>
</workbook>
</file>

<file path=xl/calcChain.xml><?xml version="1.0" encoding="utf-8"?>
<calcChain xmlns="http://schemas.openxmlformats.org/spreadsheetml/2006/main">
  <c r="AJ28" i="13"/>
  <c r="B16"/>
  <c r="AI28"/>
  <c r="B17" l="1"/>
  <c r="AG28"/>
  <c r="AH28"/>
  <c r="AF28"/>
  <c r="N20" i="12"/>
  <c r="N18"/>
  <c r="B16" l="1"/>
  <c r="B18" i="13"/>
  <c r="AD28"/>
  <c r="AE28"/>
  <c r="B27"/>
  <c r="L17"/>
  <c r="D16" i="14"/>
  <c r="B16" s="1"/>
  <c r="F28"/>
  <c r="E28"/>
  <c r="B27"/>
  <c r="C26"/>
  <c r="B26" s="1"/>
  <c r="B25"/>
  <c r="B24"/>
  <c r="C23"/>
  <c r="B23" s="1"/>
  <c r="C22"/>
  <c r="B22" s="1"/>
  <c r="B21"/>
  <c r="C20"/>
  <c r="B20"/>
  <c r="C19"/>
  <c r="C28" s="1"/>
  <c r="B19"/>
  <c r="B18"/>
  <c r="B17"/>
  <c r="D28" l="1"/>
  <c r="B28"/>
  <c r="O28" i="12" l="1"/>
  <c r="P28"/>
  <c r="Q28"/>
  <c r="AC28" i="13"/>
  <c r="AK28"/>
  <c r="AB28" l="1"/>
  <c r="Y28"/>
  <c r="Z28"/>
  <c r="AA28"/>
  <c r="E17"/>
  <c r="E16"/>
  <c r="AM28" l="1"/>
  <c r="AL28"/>
  <c r="X28"/>
  <c r="W28"/>
  <c r="V28"/>
  <c r="U28"/>
  <c r="T28"/>
  <c r="S28"/>
  <c r="R28"/>
  <c r="Q28"/>
  <c r="P28"/>
  <c r="O28"/>
  <c r="N28"/>
  <c r="M28"/>
  <c r="L28"/>
  <c r="K28"/>
  <c r="H28"/>
  <c r="G28"/>
  <c r="F28"/>
  <c r="E28"/>
  <c r="C28"/>
  <c r="B26"/>
  <c r="B25"/>
  <c r="B24"/>
  <c r="B23"/>
  <c r="J22"/>
  <c r="B22" s="1"/>
  <c r="B21"/>
  <c r="B20"/>
  <c r="D19"/>
  <c r="B19" s="1"/>
  <c r="I16"/>
  <c r="B28" l="1"/>
  <c r="D28"/>
  <c r="I28"/>
  <c r="J28"/>
  <c r="B27" i="12"/>
  <c r="N28"/>
  <c r="N16" l="1"/>
  <c r="M28"/>
  <c r="B26"/>
  <c r="B25"/>
  <c r="B24"/>
  <c r="B23"/>
  <c r="B22"/>
  <c r="B21"/>
  <c r="B20"/>
  <c r="B19"/>
  <c r="B18"/>
  <c r="B17"/>
  <c r="D16" l="1"/>
  <c r="L28" l="1"/>
  <c r="J26"/>
  <c r="K26" l="1"/>
  <c r="K28"/>
  <c r="H28" l="1"/>
  <c r="J28"/>
  <c r="I28" l="1"/>
  <c r="F28" l="1"/>
  <c r="G28"/>
  <c r="E28"/>
  <c r="D28"/>
  <c r="C28"/>
  <c r="B28" l="1"/>
  <c r="S28"/>
  <c r="R28"/>
</calcChain>
</file>

<file path=xl/sharedStrings.xml><?xml version="1.0" encoding="utf-8"?>
<sst xmlns="http://schemas.openxmlformats.org/spreadsheetml/2006/main" count="126" uniqueCount="76">
  <si>
    <t xml:space="preserve">Маслянинского района Новосибирской области  </t>
  </si>
  <si>
    <t>Маслянинского района Новосибирской области</t>
  </si>
  <si>
    <t>Таблица 1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</si>
  <si>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</si>
  <si>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</si>
  <si>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</si>
  <si>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</si>
  <si>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</si>
  <si>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</si>
  <si>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</si>
  <si>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</si>
  <si>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</si>
  <si>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</si>
  <si>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</si>
  <si>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</si>
  <si>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</si>
  <si>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</si>
  <si>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</si>
  <si>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</si>
  <si>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на 2022 год и плановый период 2023-2024 годов»</t>
  </si>
  <si>
    <t>Распределение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</si>
  <si>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обеспечению сбалансированности местных бюджетов государственной программы Новосибирской области «Управление финансами в Новосибирской области»</t>
  </si>
  <si>
    <t>Приложение №10</t>
  </si>
  <si>
    <t>депутатский фонд</t>
  </si>
  <si>
    <t>МРОТ до 17362,50</t>
  </si>
  <si>
    <t>распаковка</t>
  </si>
  <si>
    <t>коммунальные</t>
  </si>
  <si>
    <t>индексация</t>
  </si>
  <si>
    <t>трактор "Беларусь" со снежным отвалом</t>
  </si>
  <si>
    <t>распаковка культура</t>
  </si>
  <si>
    <t>ставка экскурсавода</t>
  </si>
  <si>
    <t>распаковка культура (доведение до 39119,70)</t>
  </si>
  <si>
    <t>распаковка на 9 месяцев (культура)</t>
  </si>
  <si>
    <t xml:space="preserve">МРОТ </t>
  </si>
  <si>
    <t>Таблица 3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</si>
  <si>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в соответствии с заключенными соглашениями</t>
  </si>
  <si>
    <t>в том числе</t>
  </si>
  <si>
    <t xml:space="preserve">Организация утилизации, переработки и сбора отходов </t>
  </si>
  <si>
    <t>софинансирование к ИБ</t>
  </si>
  <si>
    <t>дорожный фонд</t>
  </si>
  <si>
    <t>Исполнение собственных полномочий</t>
  </si>
  <si>
    <t>водопровод с. Пайвино 9 км</t>
  </si>
  <si>
    <t>подключение уличного освещения (с.Кинтереп)</t>
  </si>
  <si>
    <t>установка системы оповещ</t>
  </si>
  <si>
    <t>штраф (предпис.об устранении требований наруш.пож.безопасн)</t>
  </si>
  <si>
    <t xml:space="preserve">софинансирование к  организации беспер. работы объектов жизнеобесп. </t>
  </si>
  <si>
    <t>Приобретение и установка остановочных павильонов</t>
  </si>
  <si>
    <t>Проектирование газопровода за р.Бердь (софинансирование к проекту 2021г)</t>
  </si>
  <si>
    <t>Определение рыночной стоимости в целях передачи в оперативное управление или хоз.вед.нежилого здания (котельная)</t>
  </si>
  <si>
    <t>оплата выполненных кадастровых работ по объекту "Строительство распределительных газовых сетей села Пайвино"</t>
  </si>
  <si>
    <t>оплата по аналитическим исследованиям и испытаниям (реконструкция системы водоснабжения в с.Пайвино)</t>
  </si>
  <si>
    <t>Экспертиза сметной документации (благоустройство КРСТ)</t>
  </si>
  <si>
    <t>Проектирование музея старателя и инжен-геодезич изыскания</t>
  </si>
  <si>
    <t>парк СССР (вода)</t>
  </si>
  <si>
    <t>огнезащ.обработка чердачных перекрытий</t>
  </si>
  <si>
    <t>оплата налоговой задолженности (земельный налог)</t>
  </si>
  <si>
    <t>возмещение расходов-742,0, выплата з/платы-700,0</t>
  </si>
  <si>
    <t>изготовление металлоконструкций для сцены</t>
  </si>
  <si>
    <t>присоединение газоиспольз.оборуд к сети газораспр</t>
  </si>
  <si>
    <t>монтаж уличного освещения ул.Коммунистическая</t>
  </si>
  <si>
    <t>Оплата кадастровых работ</t>
  </si>
  <si>
    <t>cофинансирование к расходам на реализацию мероприятий по переводу индивидуального малоэтажного жилищного фонда с централизованного теплоснабжения на индивидуальное поквартальное отопление  за счет средств местного бюджета</t>
  </si>
  <si>
    <t xml:space="preserve">к решению 16 сессии Совета депутатов </t>
  </si>
  <si>
    <t>распаковка на 4 квартал (культура)</t>
  </si>
  <si>
    <t>Таблица 4</t>
  </si>
  <si>
    <t>Распределение иных межбюджетных трансфертов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муниципальной программы "Комплексное развитие сельских территорий Маслянинского района Новосибирской области"</t>
  </si>
  <si>
    <t>реализация проектов, направленных на создание комфортных условий проживания в сельской местности</t>
  </si>
  <si>
    <t>газопровод р.п. Маслянино</t>
  </si>
  <si>
    <t>замена составляющих частей системы ОПС</t>
  </si>
  <si>
    <t>поставка трактора с навесным оборудованием (дополнит.)</t>
  </si>
  <si>
    <t>погашение бюджетного кредита</t>
  </si>
  <si>
    <t>индексация МРОТ на 10%</t>
  </si>
  <si>
    <t>восстановление работоспособности канализационного коллектора</t>
  </si>
  <si>
    <t>откачка иловых отложений канализационных труб</t>
  </si>
  <si>
    <t>от 26.10.2022 г. №134   «О внесении изменений в бюджет</t>
  </si>
  <si>
    <t>от 26.10.2022 г. № 134  «О внесении изменений в бюджет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</si>
</sst>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_-* #,##0.0_р_._-;\-* #,##0.0_р_._-;_-* &quot;-&quot;??_р_._-;_-@_-"/>
    <numFmt numFmtId="166" formatCode="#,##0.000"/>
    <numFmt numFmtId="167" formatCode="_-* #,##0.00000_р_._-;\-* #,##0.00000_р_._-;_-* &quot;-&quot;??_р_._-;_-@_-"/>
    <numFmt numFmtId="168" formatCode="#,##0.00000"/>
  </numFmts>
  <fonts count="22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</cellStyleXfs>
  <cellXfs count="95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4" xfId="0" applyFont="1" applyFill="1" applyBorder="1" applyAlignment="1">
      <alignment horizontal="left" wrapText="1"/>
    </xf>
    <xf numFmtId="165" fontId="14" fillId="0" borderId="5" xfId="1" applyNumberFormat="1" applyFont="1" applyFill="1" applyBorder="1"/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15" fillId="3" borderId="0" xfId="0" applyFont="1" applyFill="1" applyAlignment="1"/>
    <xf numFmtId="0" fontId="7" fillId="0" borderId="8" xfId="0" applyFont="1" applyFill="1" applyBorder="1" applyAlignment="1">
      <alignment horizontal="left" wrapText="1"/>
    </xf>
    <xf numFmtId="0" fontId="17" fillId="3" borderId="0" xfId="0" applyFont="1" applyFill="1" applyAlignment="1"/>
    <xf numFmtId="0" fontId="13" fillId="3" borderId="0" xfId="0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4" fontId="16" fillId="2" borderId="10" xfId="0" applyNumberFormat="1" applyFont="1" applyFill="1" applyBorder="1" applyAlignment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49" fontId="7" fillId="2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1" fillId="2" borderId="9" xfId="0" applyFont="1" applyFill="1" applyBorder="1"/>
    <xf numFmtId="0" fontId="12" fillId="2" borderId="11" xfId="0" applyFont="1" applyFill="1" applyBorder="1" applyAlignment="1"/>
    <xf numFmtId="0" fontId="12" fillId="2" borderId="0" xfId="0" applyFont="1" applyFill="1" applyAlignment="1"/>
    <xf numFmtId="0" fontId="13" fillId="2" borderId="0" xfId="0" applyFont="1" applyFill="1" applyAlignment="1"/>
    <xf numFmtId="4" fontId="13" fillId="2" borderId="0" xfId="0" applyNumberFormat="1" applyFont="1" applyFill="1" applyAlignment="1"/>
    <xf numFmtId="0" fontId="18" fillId="2" borderId="0" xfId="0" applyFont="1" applyFill="1" applyAlignment="1"/>
    <xf numFmtId="167" fontId="16" fillId="2" borderId="10" xfId="0" applyNumberFormat="1" applyFont="1" applyFill="1" applyBorder="1" applyAlignment="1"/>
    <xf numFmtId="167" fontId="20" fillId="2" borderId="5" xfId="1" applyNumberFormat="1" applyFont="1" applyFill="1" applyBorder="1"/>
    <xf numFmtId="167" fontId="20" fillId="2" borderId="7" xfId="1" applyNumberFormat="1" applyFont="1" applyFill="1" applyBorder="1" applyAlignment="1">
      <alignment horizontal="center" vertical="center"/>
    </xf>
    <xf numFmtId="167" fontId="21" fillId="2" borderId="10" xfId="0" applyNumberFormat="1" applyFont="1" applyFill="1" applyBorder="1" applyAlignment="1"/>
    <xf numFmtId="167" fontId="14" fillId="2" borderId="5" xfId="1" applyNumberFormat="1" applyFont="1" applyFill="1" applyBorder="1"/>
    <xf numFmtId="167" fontId="14" fillId="2" borderId="7" xfId="1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7" fontId="12" fillId="2" borderId="11" xfId="0" applyNumberFormat="1" applyFont="1" applyFill="1" applyBorder="1" applyAlignment="1"/>
    <xf numFmtId="167" fontId="12" fillId="2" borderId="0" xfId="0" applyNumberFormat="1" applyFont="1" applyFill="1" applyBorder="1" applyAlignment="1"/>
    <xf numFmtId="0" fontId="7" fillId="0" borderId="12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167" fontId="14" fillId="2" borderId="15" xfId="1" applyNumberFormat="1" applyFont="1" applyFill="1" applyBorder="1"/>
    <xf numFmtId="167" fontId="14" fillId="2" borderId="7" xfId="1" applyNumberFormat="1" applyFont="1" applyFill="1" applyBorder="1"/>
    <xf numFmtId="0" fontId="11" fillId="0" borderId="9" xfId="0" applyFont="1" applyBorder="1"/>
    <xf numFmtId="0" fontId="12" fillId="3" borderId="11" xfId="0" applyFont="1" applyFill="1" applyBorder="1" applyAlignment="1"/>
    <xf numFmtId="167" fontId="12" fillId="3" borderId="0" xfId="0" applyNumberFormat="1" applyFont="1" applyFill="1" applyBorder="1" applyAlignment="1"/>
    <xf numFmtId="4" fontId="13" fillId="3" borderId="0" xfId="0" applyNumberFormat="1" applyFont="1" applyFill="1" applyAlignment="1"/>
    <xf numFmtId="165" fontId="14" fillId="2" borderId="15" xfId="1" applyNumberFormat="1" applyFont="1" applyFill="1" applyBorder="1"/>
    <xf numFmtId="165" fontId="14" fillId="2" borderId="5" xfId="1" applyNumberFormat="1" applyFont="1" applyFill="1" applyBorder="1"/>
    <xf numFmtId="165" fontId="14" fillId="2" borderId="7" xfId="1" applyNumberFormat="1" applyFont="1" applyFill="1" applyBorder="1"/>
    <xf numFmtId="167" fontId="14" fillId="4" borderId="15" xfId="1" applyNumberFormat="1" applyFont="1" applyFill="1" applyBorder="1"/>
    <xf numFmtId="167" fontId="14" fillId="4" borderId="7" xfId="1" applyNumberFormat="1" applyFont="1" applyFill="1" applyBorder="1"/>
    <xf numFmtId="167" fontId="14" fillId="4" borderId="5" xfId="1" applyNumberFormat="1" applyFont="1" applyFill="1" applyBorder="1"/>
    <xf numFmtId="167" fontId="14" fillId="4" borderId="7" xfId="1" applyNumberFormat="1" applyFont="1" applyFill="1" applyBorder="1" applyAlignment="1">
      <alignment horizontal="center" vertical="center"/>
    </xf>
    <xf numFmtId="167" fontId="21" fillId="4" borderId="10" xfId="0" applyNumberFormat="1" applyFont="1" applyFill="1" applyBorder="1" applyAlignment="1"/>
    <xf numFmtId="0" fontId="7" fillId="0" borderId="10" xfId="0" applyFont="1" applyBorder="1" applyAlignment="1">
      <alignment wrapText="1"/>
    </xf>
    <xf numFmtId="165" fontId="14" fillId="0" borderId="15" xfId="1" applyNumberFormat="1" applyFont="1" applyFill="1" applyBorder="1"/>
    <xf numFmtId="165" fontId="14" fillId="4" borderId="15" xfId="1" applyNumberFormat="1" applyFont="1" applyFill="1" applyBorder="1"/>
    <xf numFmtId="165" fontId="16" fillId="2" borderId="10" xfId="0" applyNumberFormat="1" applyFont="1" applyFill="1" applyBorder="1" applyAlignment="1"/>
    <xf numFmtId="168" fontId="16" fillId="2" borderId="10" xfId="0" applyNumberFormat="1" applyFont="1" applyFill="1" applyBorder="1" applyAlignment="1"/>
    <xf numFmtId="4" fontId="16" fillId="3" borderId="10" xfId="0" applyNumberFormat="1" applyFont="1" applyFill="1" applyBorder="1" applyAlignment="1"/>
    <xf numFmtId="0" fontId="12" fillId="3" borderId="0" xfId="0" applyFont="1" applyFill="1" applyBorder="1" applyAlignment="1"/>
    <xf numFmtId="0" fontId="7" fillId="2" borderId="4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9" fillId="3" borderId="0" xfId="0" applyFont="1" applyFill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</cellXfs>
  <cellStyles count="8">
    <cellStyle name="Обычный" xfId="0" builtinId="0"/>
    <cellStyle name="Обычный 2" xfId="7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zoomScale="90" zoomScaleNormal="90" zoomScaleSheetLayoutView="100" workbookViewId="0">
      <selection activeCell="A11" sqref="A11:S11"/>
    </sheetView>
  </sheetViews>
  <sheetFormatPr defaultRowHeight="12.75"/>
  <cols>
    <col min="1" max="1" width="25.7109375" style="1" customWidth="1"/>
    <col min="2" max="2" width="18.85546875" style="1" customWidth="1"/>
    <col min="3" max="3" width="13.7109375" style="1" hidden="1" customWidth="1"/>
    <col min="4" max="4" width="17.5703125" style="1" hidden="1" customWidth="1"/>
    <col min="5" max="5" width="16.140625" style="1" hidden="1" customWidth="1"/>
    <col min="6" max="6" width="15.7109375" style="1" hidden="1" customWidth="1"/>
    <col min="7" max="7" width="16" style="1" hidden="1" customWidth="1"/>
    <col min="8" max="8" width="16.5703125" style="1" hidden="1" customWidth="1"/>
    <col min="9" max="9" width="13.85546875" style="1" hidden="1" customWidth="1"/>
    <col min="10" max="10" width="14.5703125" style="1" hidden="1" customWidth="1"/>
    <col min="11" max="12" width="17.140625" style="1" hidden="1" customWidth="1"/>
    <col min="13" max="17" width="16" style="1" hidden="1" customWidth="1"/>
    <col min="18" max="18" width="16.85546875" style="1" customWidth="1"/>
    <col min="19" max="19" width="14.42578125" style="1" customWidth="1"/>
    <col min="20" max="16384" width="9.140625" style="1"/>
  </cols>
  <sheetData>
    <row r="1" spans="1:21" s="28" customFormat="1" ht="17.25" customHeight="1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6" t="s">
        <v>22</v>
      </c>
      <c r="T1" s="27"/>
    </row>
    <row r="2" spans="1:21" s="28" customFormat="1" ht="18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1" t="s">
        <v>62</v>
      </c>
      <c r="T2" s="32"/>
    </row>
    <row r="3" spans="1:21" s="28" customFormat="1" ht="12.75" customHeight="1">
      <c r="A3" s="33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1" t="s">
        <v>0</v>
      </c>
      <c r="T3" s="32"/>
    </row>
    <row r="4" spans="1:21" s="28" customFormat="1" ht="12" customHeight="1">
      <c r="A4" s="92" t="s">
        <v>74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32"/>
    </row>
    <row r="5" spans="1:21" s="28" customFormat="1" ht="15.7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S5" s="31" t="s">
        <v>1</v>
      </c>
    </row>
    <row r="6" spans="1:21" s="28" customFormat="1" ht="15.7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S6" s="31" t="s">
        <v>19</v>
      </c>
    </row>
    <row r="7" spans="1:21" s="28" customFormat="1" ht="1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21" ht="75.75" customHeight="1">
      <c r="A8" s="85" t="s">
        <v>20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3"/>
    </row>
    <row r="9" spans="1:21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3"/>
    </row>
    <row r="10" spans="1:21" ht="15">
      <c r="A10" s="2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3"/>
      <c r="S10" s="6" t="s">
        <v>2</v>
      </c>
      <c r="T10" s="3"/>
    </row>
    <row r="11" spans="1:21" ht="79.5" customHeight="1">
      <c r="A11" s="87" t="s">
        <v>21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35"/>
      <c r="U11" s="35"/>
    </row>
    <row r="13" spans="1:21" ht="13.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S13" s="9" t="s">
        <v>3</v>
      </c>
    </row>
    <row r="14" spans="1:21" s="10" customFormat="1" ht="15" customHeight="1">
      <c r="A14" s="80" t="s">
        <v>4</v>
      </c>
      <c r="B14" s="80">
        <v>2022</v>
      </c>
      <c r="C14" s="80" t="s">
        <v>24</v>
      </c>
      <c r="D14" s="80" t="s">
        <v>23</v>
      </c>
      <c r="E14" s="80" t="s">
        <v>25</v>
      </c>
      <c r="F14" s="80" t="s">
        <v>26</v>
      </c>
      <c r="G14" s="80" t="s">
        <v>27</v>
      </c>
      <c r="H14" s="80" t="s">
        <v>28</v>
      </c>
      <c r="I14" s="80" t="s">
        <v>29</v>
      </c>
      <c r="J14" s="80" t="s">
        <v>30</v>
      </c>
      <c r="K14" s="80" t="s">
        <v>31</v>
      </c>
      <c r="L14" s="80" t="s">
        <v>32</v>
      </c>
      <c r="M14" s="80" t="s">
        <v>33</v>
      </c>
      <c r="N14" s="80" t="s">
        <v>27</v>
      </c>
      <c r="O14" s="82" t="s">
        <v>63</v>
      </c>
      <c r="P14" s="82" t="s">
        <v>71</v>
      </c>
      <c r="Q14" s="48"/>
      <c r="R14" s="80">
        <v>2023</v>
      </c>
      <c r="S14" s="80">
        <v>2024</v>
      </c>
    </row>
    <row r="15" spans="1:21" s="10" customFormat="1" ht="51.75" customHeight="1" thickBot="1">
      <c r="A15" s="86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3"/>
      <c r="P15" s="83"/>
      <c r="Q15" s="49"/>
      <c r="R15" s="81"/>
      <c r="S15" s="81"/>
    </row>
    <row r="16" spans="1:21" s="10" customFormat="1" ht="18" customHeight="1">
      <c r="A16" s="11" t="s">
        <v>5</v>
      </c>
      <c r="B16" s="46">
        <f>0+SUM(C16:Q16)</f>
        <v>9167.3736300000037</v>
      </c>
      <c r="C16" s="46">
        <v>7.46</v>
      </c>
      <c r="D16" s="46">
        <f>1280+1000+350+160</f>
        <v>2790</v>
      </c>
      <c r="E16" s="46">
        <v>79.75855</v>
      </c>
      <c r="F16" s="46">
        <v>185</v>
      </c>
      <c r="G16" s="46">
        <v>659.08013000000005</v>
      </c>
      <c r="H16" s="46">
        <v>4500</v>
      </c>
      <c r="I16" s="43">
        <v>61.230330000000002</v>
      </c>
      <c r="J16" s="43"/>
      <c r="K16" s="46">
        <v>54.562130000000003</v>
      </c>
      <c r="L16" s="46">
        <v>57.896160000000002</v>
      </c>
      <c r="M16" s="46">
        <v>4.3018099999999997</v>
      </c>
      <c r="N16" s="46">
        <f>571.42845+123.64511</f>
        <v>695.07356000000004</v>
      </c>
      <c r="O16" s="67">
        <v>57.89629</v>
      </c>
      <c r="P16" s="67">
        <v>15.11467</v>
      </c>
      <c r="Q16" s="46"/>
      <c r="R16" s="12"/>
      <c r="S16" s="12"/>
    </row>
    <row r="17" spans="1:19" s="10" customFormat="1" ht="15">
      <c r="A17" s="13" t="s">
        <v>6</v>
      </c>
      <c r="B17" s="47">
        <f>4318.4+SUM(C17:Q17)</f>
        <v>5501.3362199999992</v>
      </c>
      <c r="C17" s="47">
        <v>6.66</v>
      </c>
      <c r="D17" s="47">
        <v>80</v>
      </c>
      <c r="E17" s="47">
        <v>124.61117</v>
      </c>
      <c r="F17" s="47">
        <v>288.56499000000002</v>
      </c>
      <c r="G17" s="47">
        <v>144.57006000000001</v>
      </c>
      <c r="H17" s="47"/>
      <c r="I17" s="44">
        <v>95.672579999999996</v>
      </c>
      <c r="J17" s="44"/>
      <c r="K17" s="47">
        <v>85.253330000000005</v>
      </c>
      <c r="L17" s="47">
        <v>90.462959999999995</v>
      </c>
      <c r="M17" s="47">
        <v>19.78023</v>
      </c>
      <c r="N17" s="47">
        <v>129.99767</v>
      </c>
      <c r="O17" s="68">
        <v>98.713539999999995</v>
      </c>
      <c r="P17" s="68">
        <v>18.64969</v>
      </c>
      <c r="Q17" s="47"/>
      <c r="R17" s="14"/>
      <c r="S17" s="14"/>
    </row>
    <row r="18" spans="1:19" s="10" customFormat="1" ht="15">
      <c r="A18" s="13" t="s">
        <v>7</v>
      </c>
      <c r="B18" s="47">
        <f>3415.3+SUM(C18:Q18)</f>
        <v>4038.1327500000002</v>
      </c>
      <c r="C18" s="47">
        <v>8</v>
      </c>
      <c r="D18" s="47"/>
      <c r="E18" s="47">
        <v>79.751149999999996</v>
      </c>
      <c r="F18" s="47">
        <v>67.35772</v>
      </c>
      <c r="G18" s="47">
        <v>92.676299999999998</v>
      </c>
      <c r="H18" s="47"/>
      <c r="I18" s="44">
        <v>61.230460000000001</v>
      </c>
      <c r="J18" s="44"/>
      <c r="K18" s="47">
        <v>54.562130000000003</v>
      </c>
      <c r="L18" s="47">
        <v>57.89629</v>
      </c>
      <c r="M18" s="47">
        <v>23.736270000000001</v>
      </c>
      <c r="N18" s="68">
        <f>98.2088-0.86226</f>
        <v>97.34653999999999</v>
      </c>
      <c r="O18" s="68">
        <v>57.89631</v>
      </c>
      <c r="P18" s="68">
        <v>22.379580000000001</v>
      </c>
      <c r="Q18" s="47"/>
      <c r="R18" s="14"/>
      <c r="S18" s="14"/>
    </row>
    <row r="19" spans="1:19" s="10" customFormat="1" ht="15">
      <c r="A19" s="13" t="s">
        <v>8</v>
      </c>
      <c r="B19" s="47">
        <f>3381.8+SUM(C19:Q19)</f>
        <v>4017.0057800000004</v>
      </c>
      <c r="C19" s="47">
        <v>6.93</v>
      </c>
      <c r="D19" s="47"/>
      <c r="E19" s="47">
        <v>79.751149999999996</v>
      </c>
      <c r="F19" s="47">
        <v>39.609409999999997</v>
      </c>
      <c r="G19" s="47">
        <v>114.85805999999999</v>
      </c>
      <c r="H19" s="47"/>
      <c r="I19" s="44">
        <v>61.230460000000001</v>
      </c>
      <c r="J19" s="44"/>
      <c r="K19" s="47">
        <v>54.562130000000003</v>
      </c>
      <c r="L19" s="47">
        <v>55.753779999999999</v>
      </c>
      <c r="M19" s="47">
        <v>20.571439999999999</v>
      </c>
      <c r="N19" s="47">
        <v>124.64748</v>
      </c>
      <c r="O19" s="68">
        <v>57.896279999999997</v>
      </c>
      <c r="P19" s="68">
        <v>19.395589999999999</v>
      </c>
      <c r="Q19" s="47"/>
      <c r="R19" s="14"/>
      <c r="S19" s="14"/>
    </row>
    <row r="20" spans="1:19" s="10" customFormat="1" ht="15">
      <c r="A20" s="13" t="s">
        <v>9</v>
      </c>
      <c r="B20" s="47">
        <f>2276.4+SUM(C20:Q20)</f>
        <v>2867.7982099999999</v>
      </c>
      <c r="C20" s="47">
        <v>4</v>
      </c>
      <c r="D20" s="47"/>
      <c r="E20" s="47">
        <v>58.813360000000003</v>
      </c>
      <c r="F20" s="47">
        <v>209.60213999999999</v>
      </c>
      <c r="G20" s="47">
        <v>76.009929999999997</v>
      </c>
      <c r="H20" s="47"/>
      <c r="I20" s="44">
        <v>46.422840000000001</v>
      </c>
      <c r="J20" s="44"/>
      <c r="K20" s="47">
        <v>40.921599999999998</v>
      </c>
      <c r="L20" s="47">
        <v>43.922229999999999</v>
      </c>
      <c r="M20" s="47">
        <v>0</v>
      </c>
      <c r="N20" s="68">
        <f>91.02535-26.88057</f>
        <v>64.144779999999997</v>
      </c>
      <c r="O20" s="68">
        <v>43.422220000000003</v>
      </c>
      <c r="P20" s="68">
        <v>4.1391099999999996</v>
      </c>
      <c r="Q20" s="47"/>
      <c r="R20" s="14"/>
      <c r="S20" s="14"/>
    </row>
    <row r="21" spans="1:19" s="10" customFormat="1" ht="15">
      <c r="A21" s="13" t="s">
        <v>10</v>
      </c>
      <c r="B21" s="47">
        <f>3866.8+SUM(C21:Q21)</f>
        <v>4544.4884000000002</v>
      </c>
      <c r="C21" s="47">
        <v>8</v>
      </c>
      <c r="D21" s="47"/>
      <c r="E21" s="47">
        <v>91.381519999999995</v>
      </c>
      <c r="F21" s="47"/>
      <c r="G21" s="47">
        <v>120.09542999999999</v>
      </c>
      <c r="H21" s="47"/>
      <c r="I21" s="44">
        <v>76.538070000000005</v>
      </c>
      <c r="J21" s="44"/>
      <c r="K21" s="47">
        <v>68.202669999999998</v>
      </c>
      <c r="L21" s="47">
        <v>72.370379999999997</v>
      </c>
      <c r="M21" s="47">
        <v>23.736270000000001</v>
      </c>
      <c r="N21" s="47">
        <v>124.0373</v>
      </c>
      <c r="O21" s="68">
        <v>72.370369999999994</v>
      </c>
      <c r="P21" s="68">
        <v>20.956389999999999</v>
      </c>
      <c r="Q21" s="47"/>
      <c r="R21" s="14"/>
      <c r="S21" s="14"/>
    </row>
    <row r="22" spans="1:19" s="15" customFormat="1" ht="15">
      <c r="A22" s="13" t="s">
        <v>11</v>
      </c>
      <c r="B22" s="47">
        <f>2012.5+SUM(C22:Q22)</f>
        <v>2693.8059600000001</v>
      </c>
      <c r="C22" s="47">
        <v>8</v>
      </c>
      <c r="D22" s="47"/>
      <c r="E22" s="47">
        <v>75.763580000000005</v>
      </c>
      <c r="F22" s="47">
        <v>86.279740000000004</v>
      </c>
      <c r="G22" s="47">
        <v>111.29563</v>
      </c>
      <c r="H22" s="47"/>
      <c r="I22" s="44">
        <v>58.168930000000003</v>
      </c>
      <c r="J22" s="44"/>
      <c r="K22" s="47">
        <v>51.834029999999998</v>
      </c>
      <c r="L22" s="47">
        <v>55.001489999999997</v>
      </c>
      <c r="M22" s="47">
        <v>23.736270000000001</v>
      </c>
      <c r="N22" s="47">
        <v>124.92564</v>
      </c>
      <c r="O22" s="68">
        <v>55.001469999999998</v>
      </c>
      <c r="P22" s="68">
        <v>31.29918</v>
      </c>
      <c r="Q22" s="47"/>
      <c r="R22" s="14"/>
      <c r="S22" s="14"/>
    </row>
    <row r="23" spans="1:19" s="10" customFormat="1" ht="15">
      <c r="A23" s="13" t="s">
        <v>12</v>
      </c>
      <c r="B23" s="47">
        <f>4268.8+SUM(C23:Q23)</f>
        <v>4953.5071500000004</v>
      </c>
      <c r="C23" s="47">
        <v>6.4</v>
      </c>
      <c r="D23" s="47"/>
      <c r="E23" s="47">
        <v>171.21778</v>
      </c>
      <c r="F23" s="47">
        <v>156.53434999999999</v>
      </c>
      <c r="G23" s="47">
        <v>109.34613</v>
      </c>
      <c r="H23" s="47"/>
      <c r="I23" s="44">
        <v>0</v>
      </c>
      <c r="J23" s="44"/>
      <c r="K23" s="47">
        <v>85.935360000000003</v>
      </c>
      <c r="L23" s="47"/>
      <c r="M23" s="47">
        <v>18.98902</v>
      </c>
      <c r="N23" s="47">
        <v>119.68284</v>
      </c>
      <c r="O23" s="68">
        <v>0</v>
      </c>
      <c r="P23" s="68">
        <v>16.601669999999999</v>
      </c>
      <c r="Q23" s="47"/>
      <c r="R23" s="14"/>
      <c r="S23" s="14"/>
    </row>
    <row r="24" spans="1:19" s="10" customFormat="1" ht="15">
      <c r="A24" s="13" t="s">
        <v>13</v>
      </c>
      <c r="B24" s="47">
        <f>4492+SUM(C24:Q24)</f>
        <v>5217.6737299999995</v>
      </c>
      <c r="C24" s="47">
        <v>6.66</v>
      </c>
      <c r="D24" s="47"/>
      <c r="E24" s="47">
        <v>91.713300000000004</v>
      </c>
      <c r="F24" s="47">
        <v>87.038229999999999</v>
      </c>
      <c r="G24" s="47">
        <v>113.03805</v>
      </c>
      <c r="H24" s="47"/>
      <c r="I24" s="44">
        <v>70.415019999999998</v>
      </c>
      <c r="J24" s="44"/>
      <c r="K24" s="47">
        <v>62.746450000000003</v>
      </c>
      <c r="L24" s="47">
        <v>66.580740000000006</v>
      </c>
      <c r="M24" s="47">
        <v>19.78023</v>
      </c>
      <c r="N24" s="47">
        <v>122.47434</v>
      </c>
      <c r="O24" s="68">
        <v>66.580740000000006</v>
      </c>
      <c r="P24" s="68">
        <v>18.646629999999998</v>
      </c>
      <c r="Q24" s="47"/>
      <c r="R24" s="14"/>
      <c r="S24" s="14"/>
    </row>
    <row r="25" spans="1:19" s="10" customFormat="1" ht="15">
      <c r="A25" s="13" t="s">
        <v>14</v>
      </c>
      <c r="B25" s="47">
        <f>1230.8+SUM(C25:Q25)</f>
        <v>1893.5115799999999</v>
      </c>
      <c r="C25" s="47">
        <v>6.66</v>
      </c>
      <c r="D25" s="47"/>
      <c r="E25" s="47">
        <v>95.701369999999997</v>
      </c>
      <c r="F25" s="47"/>
      <c r="G25" s="47">
        <v>119.31407</v>
      </c>
      <c r="H25" s="47"/>
      <c r="I25" s="44">
        <v>73.476550000000003</v>
      </c>
      <c r="J25" s="44"/>
      <c r="K25" s="47">
        <v>65.474559999999997</v>
      </c>
      <c r="L25" s="47">
        <v>69.475530000000006</v>
      </c>
      <c r="M25" s="47">
        <v>20.441759999999999</v>
      </c>
      <c r="N25" s="47">
        <v>124.0424</v>
      </c>
      <c r="O25" s="68">
        <v>69.475570000000005</v>
      </c>
      <c r="P25" s="68">
        <v>18.64977</v>
      </c>
      <c r="Q25" s="47"/>
      <c r="R25" s="14"/>
      <c r="S25" s="14"/>
    </row>
    <row r="26" spans="1:19" s="10" customFormat="1" ht="15">
      <c r="A26" s="13" t="s">
        <v>15</v>
      </c>
      <c r="B26" s="47">
        <f>1761.5+SUM(C26:Q26)</f>
        <v>2353.62581</v>
      </c>
      <c r="C26" s="47">
        <v>10.66</v>
      </c>
      <c r="D26" s="47"/>
      <c r="E26" s="47">
        <v>38.552480000000003</v>
      </c>
      <c r="F26" s="47"/>
      <c r="G26" s="47">
        <v>91.893119999999996</v>
      </c>
      <c r="H26" s="47"/>
      <c r="I26" s="44">
        <v>30.61374</v>
      </c>
      <c r="J26" s="44">
        <f>300.98516-135.54321</f>
        <v>165.44195000000002</v>
      </c>
      <c r="K26" s="47">
        <f>27.28107+4.77485</f>
        <v>32.05592</v>
      </c>
      <c r="L26" s="47"/>
      <c r="M26" s="47">
        <v>32.170250000000003</v>
      </c>
      <c r="N26" s="47">
        <v>103.61026</v>
      </c>
      <c r="O26" s="68">
        <v>57.737630000000003</v>
      </c>
      <c r="P26" s="68">
        <v>29.390460000000001</v>
      </c>
      <c r="Q26" s="47"/>
      <c r="R26" s="14"/>
      <c r="S26" s="14"/>
    </row>
    <row r="27" spans="1:19" s="10" customFormat="1" ht="15.75" thickBot="1">
      <c r="A27" s="16" t="s">
        <v>16</v>
      </c>
      <c r="B27" s="47">
        <f>0+SUM(C27:Q27)</f>
        <v>985.44074000000001</v>
      </c>
      <c r="C27" s="47">
        <v>2.13</v>
      </c>
      <c r="D27" s="47"/>
      <c r="E27" s="47">
        <v>179.44007999999999</v>
      </c>
      <c r="F27" s="47"/>
      <c r="G27" s="47">
        <v>123.17230000000001</v>
      </c>
      <c r="H27" s="47"/>
      <c r="I27" s="44">
        <v>137.76853</v>
      </c>
      <c r="J27" s="44"/>
      <c r="K27" s="47">
        <v>122.76479999999999</v>
      </c>
      <c r="L27" s="47">
        <v>130.26666</v>
      </c>
      <c r="M27" s="47">
        <v>5.9734400000000001</v>
      </c>
      <c r="N27" s="47">
        <v>140.23054999999999</v>
      </c>
      <c r="O27" s="68">
        <v>130.26666</v>
      </c>
      <c r="P27" s="68">
        <v>13.427720000000001</v>
      </c>
      <c r="Q27" s="47"/>
      <c r="R27" s="14"/>
      <c r="S27" s="14"/>
    </row>
    <row r="28" spans="1:19" s="17" customFormat="1" ht="15.75" thickBot="1">
      <c r="A28" s="36" t="s">
        <v>17</v>
      </c>
      <c r="B28" s="42">
        <f>SUM(B16:B27)</f>
        <v>48233.699959999998</v>
      </c>
      <c r="C28" s="42">
        <f>SUM(C16:C27)</f>
        <v>81.559999999999988</v>
      </c>
      <c r="D28" s="42">
        <f>SUM(D16:D27)</f>
        <v>2870</v>
      </c>
      <c r="E28" s="42">
        <f t="shared" ref="E28" si="0">SUM(E16:E27)</f>
        <v>1166.4554900000001</v>
      </c>
      <c r="F28" s="42">
        <f t="shared" ref="F28" si="1">SUM(F16:F27)</f>
        <v>1119.9865799999998</v>
      </c>
      <c r="G28" s="42">
        <f t="shared" ref="G28:L28" si="2">SUM(G16:G27)</f>
        <v>1875.3492099999999</v>
      </c>
      <c r="H28" s="42">
        <f t="shared" si="2"/>
        <v>4500</v>
      </c>
      <c r="I28" s="45">
        <f t="shared" si="2"/>
        <v>772.7675099999999</v>
      </c>
      <c r="J28" s="45">
        <f t="shared" si="2"/>
        <v>165.44195000000002</v>
      </c>
      <c r="K28" s="45">
        <f t="shared" si="2"/>
        <v>778.87511000000006</v>
      </c>
      <c r="L28" s="45">
        <f t="shared" si="2"/>
        <v>699.62621999999999</v>
      </c>
      <c r="M28" s="45">
        <f>SUM(M16:M27)</f>
        <v>213.21699000000001</v>
      </c>
      <c r="N28" s="45">
        <f>SUM(N16:N27)</f>
        <v>1970.21336</v>
      </c>
      <c r="O28" s="69">
        <f t="shared" ref="O28:Q28" si="3">SUM(O16:O27)</f>
        <v>767.25707999999997</v>
      </c>
      <c r="P28" s="69">
        <f t="shared" si="3"/>
        <v>228.65045999999998</v>
      </c>
      <c r="Q28" s="45">
        <f t="shared" si="3"/>
        <v>0</v>
      </c>
      <c r="R28" s="23">
        <f>SUM(R16:R27)</f>
        <v>0</v>
      </c>
      <c r="S28" s="23">
        <f>SUM(S16:S27)</f>
        <v>0</v>
      </c>
    </row>
    <row r="29" spans="1:19" s="10" customFormat="1">
      <c r="A29" s="37"/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38"/>
      <c r="S29" s="38"/>
    </row>
    <row r="30" spans="1:19" s="18" customForma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40"/>
      <c r="S30" s="39"/>
    </row>
    <row r="31" spans="1:19" s="19" customForma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</row>
    <row r="32" spans="1:19" s="20" customFormat="1">
      <c r="A32" s="84" t="s">
        <v>18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</row>
    <row r="33" spans="1:19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>
      <c r="S34" s="21"/>
    </row>
    <row r="35" spans="1:19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</sheetData>
  <mergeCells count="22">
    <mergeCell ref="A4:S4"/>
    <mergeCell ref="A8:S8"/>
    <mergeCell ref="A14:A15"/>
    <mergeCell ref="B14:B15"/>
    <mergeCell ref="R14:R15"/>
    <mergeCell ref="S14:S15"/>
    <mergeCell ref="A11:S11"/>
    <mergeCell ref="M14:M15"/>
    <mergeCell ref="C14:C15"/>
    <mergeCell ref="D14:D15"/>
    <mergeCell ref="E14:E15"/>
    <mergeCell ref="F14:F15"/>
    <mergeCell ref="G14:G15"/>
    <mergeCell ref="I14:I15"/>
    <mergeCell ref="N14:N15"/>
    <mergeCell ref="L14:L15"/>
    <mergeCell ref="J14:J15"/>
    <mergeCell ref="H14:H15"/>
    <mergeCell ref="K14:K15"/>
    <mergeCell ref="O14:O15"/>
    <mergeCell ref="A32:S32"/>
    <mergeCell ref="P14:P15"/>
  </mergeCells>
  <printOptions horizontalCentered="1"/>
  <pageMargins left="0.19685039370078741" right="0.19685039370078741" top="0.39370078740157483" bottom="0.59055118110236227" header="0" footer="0"/>
  <pageSetup paperSize="9" scale="7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35"/>
  <sheetViews>
    <sheetView zoomScale="80" zoomScaleNormal="80" zoomScaleSheetLayoutView="100" workbookViewId="0">
      <selection activeCell="A11" sqref="A11:AM11"/>
    </sheetView>
  </sheetViews>
  <sheetFormatPr defaultRowHeight="12.75"/>
  <cols>
    <col min="1" max="1" width="25.7109375" style="1" customWidth="1"/>
    <col min="2" max="2" width="24.85546875" style="1" customWidth="1"/>
    <col min="3" max="3" width="24.85546875" style="1" hidden="1" customWidth="1"/>
    <col min="4" max="4" width="22.5703125" style="1" hidden="1" customWidth="1"/>
    <col min="5" max="5" width="19.42578125" style="1" hidden="1" customWidth="1"/>
    <col min="6" max="6" width="19.28515625" style="1" hidden="1" customWidth="1"/>
    <col min="7" max="7" width="18.5703125" style="1" hidden="1" customWidth="1"/>
    <col min="8" max="8" width="19.7109375" style="1" hidden="1" customWidth="1"/>
    <col min="9" max="9" width="17.28515625" style="1" hidden="1" customWidth="1"/>
    <col min="10" max="10" width="16.85546875" style="1" hidden="1" customWidth="1"/>
    <col min="11" max="11" width="18.140625" style="1" hidden="1" customWidth="1"/>
    <col min="12" max="12" width="18" style="1" hidden="1" customWidth="1"/>
    <col min="13" max="13" width="17.7109375" style="1" hidden="1" customWidth="1"/>
    <col min="14" max="14" width="21.7109375" style="1" hidden="1" customWidth="1"/>
    <col min="15" max="16" width="21.5703125" style="1" hidden="1" customWidth="1"/>
    <col min="17" max="17" width="19.5703125" style="1" hidden="1" customWidth="1"/>
    <col min="18" max="18" width="19" style="1" hidden="1" customWidth="1"/>
    <col min="19" max="19" width="17.28515625" style="1" hidden="1" customWidth="1"/>
    <col min="20" max="20" width="15.28515625" style="1" hidden="1" customWidth="1"/>
    <col min="21" max="21" width="15.140625" style="1" hidden="1" customWidth="1"/>
    <col min="22" max="22" width="14.28515625" style="1" hidden="1" customWidth="1"/>
    <col min="23" max="23" width="16.5703125" style="1" hidden="1" customWidth="1"/>
    <col min="24" max="36" width="17.5703125" style="1" hidden="1" customWidth="1"/>
    <col min="37" max="37" width="11.28515625" style="1" hidden="1" customWidth="1"/>
    <col min="38" max="38" width="15.7109375" style="1" customWidth="1"/>
    <col min="39" max="39" width="15.28515625" style="1" customWidth="1"/>
    <col min="40" max="16384" width="9.140625" style="1"/>
  </cols>
  <sheetData>
    <row r="1" spans="1:40" s="28" customFormat="1" ht="17.25" customHeight="1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6" t="s">
        <v>22</v>
      </c>
      <c r="AN1" s="27"/>
    </row>
    <row r="2" spans="1:40" s="28" customFormat="1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1" t="s">
        <v>62</v>
      </c>
      <c r="AN2" s="32"/>
    </row>
    <row r="3" spans="1:40" s="28" customFormat="1" ht="12.75" customHeight="1">
      <c r="A3" s="33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1" t="s">
        <v>0</v>
      </c>
      <c r="AN3" s="32"/>
    </row>
    <row r="4" spans="1:40" s="28" customFormat="1" ht="12" customHeight="1">
      <c r="A4" s="29"/>
      <c r="B4" s="92" t="s">
        <v>75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32"/>
    </row>
    <row r="5" spans="1:40" s="28" customFormat="1" ht="15.7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M5" s="31" t="s">
        <v>1</v>
      </c>
    </row>
    <row r="6" spans="1:40" s="28" customFormat="1" ht="15.7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M6" s="31" t="s">
        <v>19</v>
      </c>
    </row>
    <row r="7" spans="1:40" ht="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3"/>
      <c r="AM7" s="3"/>
      <c r="AN7" s="3"/>
    </row>
    <row r="8" spans="1:40" ht="75.75" customHeight="1">
      <c r="A8" s="85" t="s">
        <v>20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3"/>
    </row>
    <row r="9" spans="1:40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3"/>
    </row>
    <row r="10" spans="1:40" ht="15">
      <c r="A10" s="2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3"/>
      <c r="AM10" s="6" t="s">
        <v>34</v>
      </c>
      <c r="AN10" s="3"/>
    </row>
    <row r="11" spans="1:40" ht="62.25" customHeight="1">
      <c r="A11" s="87" t="s">
        <v>35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3"/>
    </row>
    <row r="13" spans="1:40" ht="13.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M13" s="9" t="s">
        <v>3</v>
      </c>
    </row>
    <row r="14" spans="1:40" s="10" customFormat="1" ht="15" customHeight="1" thickBot="1">
      <c r="A14" s="80" t="s">
        <v>4</v>
      </c>
      <c r="B14" s="80">
        <v>2022</v>
      </c>
      <c r="C14" s="89" t="s">
        <v>36</v>
      </c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1"/>
      <c r="AL14" s="80">
        <v>2023</v>
      </c>
      <c r="AM14" s="80">
        <v>2024</v>
      </c>
    </row>
    <row r="15" spans="1:40" s="10" customFormat="1" ht="90" customHeight="1" thickBot="1">
      <c r="A15" s="86"/>
      <c r="B15" s="81"/>
      <c r="C15" s="52" t="s">
        <v>37</v>
      </c>
      <c r="D15" s="53" t="s">
        <v>38</v>
      </c>
      <c r="E15" s="54" t="s">
        <v>39</v>
      </c>
      <c r="F15" s="54" t="s">
        <v>40</v>
      </c>
      <c r="G15" s="54" t="s">
        <v>41</v>
      </c>
      <c r="H15" s="54" t="s">
        <v>42</v>
      </c>
      <c r="I15" s="54" t="s">
        <v>28</v>
      </c>
      <c r="J15" s="54" t="s">
        <v>43</v>
      </c>
      <c r="K15" s="54" t="s">
        <v>44</v>
      </c>
      <c r="L15" s="54" t="s">
        <v>45</v>
      </c>
      <c r="M15" s="54" t="s">
        <v>46</v>
      </c>
      <c r="N15" s="54" t="s">
        <v>47</v>
      </c>
      <c r="O15" s="54" t="s">
        <v>48</v>
      </c>
      <c r="P15" s="54" t="s">
        <v>49</v>
      </c>
      <c r="Q15" s="54" t="s">
        <v>50</v>
      </c>
      <c r="R15" s="54" t="s">
        <v>51</v>
      </c>
      <c r="S15" s="54" t="s">
        <v>52</v>
      </c>
      <c r="T15" s="54" t="s">
        <v>30</v>
      </c>
      <c r="U15" s="54" t="s">
        <v>53</v>
      </c>
      <c r="V15" s="54" t="s">
        <v>54</v>
      </c>
      <c r="W15" s="54" t="s">
        <v>55</v>
      </c>
      <c r="X15" s="54" t="s">
        <v>56</v>
      </c>
      <c r="Y15" s="54" t="s">
        <v>57</v>
      </c>
      <c r="Z15" s="54" t="s">
        <v>58</v>
      </c>
      <c r="AA15" s="54" t="s">
        <v>59</v>
      </c>
      <c r="AB15" s="54" t="s">
        <v>60</v>
      </c>
      <c r="AC15" s="54" t="s">
        <v>61</v>
      </c>
      <c r="AD15" s="54" t="s">
        <v>68</v>
      </c>
      <c r="AE15" s="54" t="s">
        <v>69</v>
      </c>
      <c r="AF15" s="54" t="s">
        <v>70</v>
      </c>
      <c r="AG15" s="54" t="s">
        <v>27</v>
      </c>
      <c r="AH15" s="54" t="s">
        <v>72</v>
      </c>
      <c r="AI15" s="54" t="s">
        <v>73</v>
      </c>
      <c r="AJ15" s="54"/>
      <c r="AK15" s="55"/>
      <c r="AL15" s="81"/>
      <c r="AM15" s="81"/>
    </row>
    <row r="16" spans="1:40" s="10" customFormat="1" ht="18" customHeight="1">
      <c r="A16" s="77" t="s">
        <v>5</v>
      </c>
      <c r="B16" s="56">
        <f>SUM(C16:AK16)</f>
        <v>9246.2867200000001</v>
      </c>
      <c r="C16" s="56"/>
      <c r="D16" s="56"/>
      <c r="E16" s="65">
        <f>2621.37153+472.8+420+2000+1100</f>
        <v>6614.1715299999996</v>
      </c>
      <c r="F16" s="56"/>
      <c r="G16" s="56"/>
      <c r="H16" s="56"/>
      <c r="I16" s="56">
        <f>4500-4500</f>
        <v>0</v>
      </c>
      <c r="J16" s="56"/>
      <c r="K16" s="56"/>
      <c r="L16" s="56"/>
      <c r="M16" s="56">
        <v>1360</v>
      </c>
      <c r="N16" s="56">
        <v>76.816190000000006</v>
      </c>
      <c r="O16" s="56"/>
      <c r="P16" s="56"/>
      <c r="Q16" s="56"/>
      <c r="R16" s="56"/>
      <c r="S16" s="56"/>
      <c r="T16" s="56"/>
      <c r="U16" s="56">
        <v>182</v>
      </c>
      <c r="V16" s="56"/>
      <c r="W16" s="56"/>
      <c r="X16" s="56"/>
      <c r="Y16" s="65">
        <v>55</v>
      </c>
      <c r="Z16" s="65">
        <v>11.298999999999999</v>
      </c>
      <c r="AA16" s="65">
        <v>100</v>
      </c>
      <c r="AB16" s="56"/>
      <c r="AC16" s="56"/>
      <c r="AD16" s="56"/>
      <c r="AE16" s="65">
        <v>240</v>
      </c>
      <c r="AF16" s="56"/>
      <c r="AG16" s="56"/>
      <c r="AH16" s="65">
        <v>490</v>
      </c>
      <c r="AI16" s="65">
        <v>117</v>
      </c>
      <c r="AJ16" s="56"/>
      <c r="AK16" s="56"/>
      <c r="AL16" s="62"/>
      <c r="AM16" s="63"/>
    </row>
    <row r="17" spans="1:39" s="10" customFormat="1" ht="15">
      <c r="A17" s="78" t="s">
        <v>6</v>
      </c>
      <c r="B17" s="56">
        <f>SUM(C17:AK17)</f>
        <v>3139.6477600000003</v>
      </c>
      <c r="C17" s="57">
        <v>69.8</v>
      </c>
      <c r="D17" s="57">
        <v>310</v>
      </c>
      <c r="E17" s="66">
        <f>741.092+1907.15</f>
        <v>2648.2420000000002</v>
      </c>
      <c r="F17" s="57">
        <v>99</v>
      </c>
      <c r="G17" s="57"/>
      <c r="H17" s="57"/>
      <c r="I17" s="57"/>
      <c r="J17" s="57"/>
      <c r="K17" s="57"/>
      <c r="L17" s="66">
        <f>10.58576+2.02</f>
        <v>12.60576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64"/>
      <c r="AM17" s="64"/>
    </row>
    <row r="18" spans="1:39" s="10" customFormat="1" ht="15">
      <c r="A18" s="78" t="s">
        <v>7</v>
      </c>
      <c r="B18" s="56">
        <f t="shared" ref="B18:B27" si="0">SUM(C18:AK18)</f>
        <v>713.70636999999999</v>
      </c>
      <c r="C18" s="57">
        <v>23.4</v>
      </c>
      <c r="D18" s="57">
        <v>315.5</v>
      </c>
      <c r="E18" s="57"/>
      <c r="F18" s="57"/>
      <c r="G18" s="57"/>
      <c r="H18" s="57">
        <v>350</v>
      </c>
      <c r="I18" s="57"/>
      <c r="J18" s="57"/>
      <c r="K18" s="57"/>
      <c r="L18" s="57">
        <v>5.74411</v>
      </c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66">
        <v>18.2</v>
      </c>
      <c r="AE18" s="57"/>
      <c r="AF18" s="57"/>
      <c r="AG18" s="66">
        <v>0.86226000000000003</v>
      </c>
      <c r="AH18" s="57"/>
      <c r="AI18" s="57"/>
      <c r="AJ18" s="57"/>
      <c r="AK18" s="57"/>
      <c r="AL18" s="64"/>
      <c r="AM18" s="64"/>
    </row>
    <row r="19" spans="1:39" s="10" customFormat="1" ht="15">
      <c r="A19" s="78" t="s">
        <v>8</v>
      </c>
      <c r="B19" s="56">
        <f t="shared" si="0"/>
        <v>515.18154000000004</v>
      </c>
      <c r="C19" s="57">
        <v>35.200000000000003</v>
      </c>
      <c r="D19" s="57">
        <f>300</f>
        <v>300</v>
      </c>
      <c r="E19" s="57"/>
      <c r="F19" s="57"/>
      <c r="G19" s="57"/>
      <c r="H19" s="57"/>
      <c r="I19" s="57"/>
      <c r="J19" s="57">
        <v>104</v>
      </c>
      <c r="K19" s="57">
        <v>70</v>
      </c>
      <c r="L19" s="57">
        <v>5.9815399999999999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64"/>
      <c r="AM19" s="64"/>
    </row>
    <row r="20" spans="1:39" s="10" customFormat="1" ht="15">
      <c r="A20" s="78" t="s">
        <v>9</v>
      </c>
      <c r="B20" s="56">
        <f t="shared" si="0"/>
        <v>765.48057000000006</v>
      </c>
      <c r="C20" s="57">
        <v>28.6</v>
      </c>
      <c r="D20" s="57">
        <v>300</v>
      </c>
      <c r="E20" s="57">
        <v>410</v>
      </c>
      <c r="F20" s="57"/>
      <c r="G20" s="57"/>
      <c r="H20" s="57"/>
      <c r="I20" s="57"/>
      <c r="J20" s="57"/>
      <c r="K20" s="57"/>
      <c r="L20" s="57">
        <v>0</v>
      </c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66">
        <v>26.880569999999999</v>
      </c>
      <c r="AH20" s="57"/>
      <c r="AI20" s="57"/>
      <c r="AJ20" s="57"/>
      <c r="AK20" s="57"/>
      <c r="AL20" s="64"/>
      <c r="AM20" s="64"/>
    </row>
    <row r="21" spans="1:39" s="10" customFormat="1" ht="15">
      <c r="A21" s="78" t="s">
        <v>10</v>
      </c>
      <c r="B21" s="56">
        <f t="shared" si="0"/>
        <v>591.37628000000007</v>
      </c>
      <c r="C21" s="57">
        <v>39.6</v>
      </c>
      <c r="D21" s="57">
        <v>320.14926000000003</v>
      </c>
      <c r="E21" s="57"/>
      <c r="F21" s="57"/>
      <c r="G21" s="57"/>
      <c r="H21" s="57"/>
      <c r="I21" s="57"/>
      <c r="J21" s="57">
        <v>156</v>
      </c>
      <c r="K21" s="57">
        <v>70</v>
      </c>
      <c r="L21" s="57">
        <v>5.6270199999999999</v>
      </c>
      <c r="M21" s="57"/>
      <c r="N21" s="57"/>
      <c r="O21" s="57"/>
      <c r="P21" s="57"/>
      <c r="Q21" s="57"/>
      <c r="R21" s="57"/>
      <c r="S21" s="57"/>
      <c r="T21" s="57"/>
      <c r="U21" s="57"/>
      <c r="V21" s="57">
        <v>0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64"/>
      <c r="AM21" s="64"/>
    </row>
    <row r="22" spans="1:39" s="15" customFormat="1" ht="15">
      <c r="A22" s="78" t="s">
        <v>11</v>
      </c>
      <c r="B22" s="56">
        <f t="shared" si="0"/>
        <v>730.85785999999996</v>
      </c>
      <c r="C22" s="57">
        <v>44.5</v>
      </c>
      <c r="D22" s="57">
        <v>200</v>
      </c>
      <c r="E22" s="57"/>
      <c r="F22" s="57"/>
      <c r="G22" s="57"/>
      <c r="H22" s="57"/>
      <c r="I22" s="57"/>
      <c r="J22" s="57">
        <f>52-52</f>
        <v>0</v>
      </c>
      <c r="K22" s="57"/>
      <c r="L22" s="57">
        <v>6.3578599999999996</v>
      </c>
      <c r="M22" s="57"/>
      <c r="N22" s="57"/>
      <c r="O22" s="57"/>
      <c r="P22" s="57"/>
      <c r="Q22" s="57"/>
      <c r="R22" s="57"/>
      <c r="S22" s="57">
        <v>480</v>
      </c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64"/>
      <c r="AM22" s="64"/>
    </row>
    <row r="23" spans="1:39" s="10" customFormat="1" ht="15">
      <c r="A23" s="78" t="s">
        <v>12</v>
      </c>
      <c r="B23" s="56">
        <f t="shared" si="0"/>
        <v>1289.9136099999998</v>
      </c>
      <c r="C23" s="57">
        <v>60.1</v>
      </c>
      <c r="D23" s="57">
        <v>305</v>
      </c>
      <c r="E23" s="57">
        <v>875.54</v>
      </c>
      <c r="F23" s="57">
        <v>37.783000000000001</v>
      </c>
      <c r="G23" s="57"/>
      <c r="H23" s="57"/>
      <c r="I23" s="57"/>
      <c r="J23" s="57"/>
      <c r="K23" s="57"/>
      <c r="L23" s="57">
        <v>11.49061</v>
      </c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64"/>
      <c r="AM23" s="64"/>
    </row>
    <row r="24" spans="1:39" s="10" customFormat="1" ht="15">
      <c r="A24" s="78" t="s">
        <v>13</v>
      </c>
      <c r="B24" s="56">
        <f t="shared" si="0"/>
        <v>528.47136999999998</v>
      </c>
      <c r="C24" s="57">
        <v>30.2</v>
      </c>
      <c r="D24" s="57">
        <v>300</v>
      </c>
      <c r="E24" s="57"/>
      <c r="F24" s="57"/>
      <c r="G24" s="57"/>
      <c r="H24" s="57"/>
      <c r="I24" s="57"/>
      <c r="J24" s="57">
        <v>52</v>
      </c>
      <c r="K24" s="57">
        <v>70</v>
      </c>
      <c r="L24" s="57">
        <v>4.4353699999999998</v>
      </c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>
        <v>71.835999999999999</v>
      </c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64"/>
      <c r="AM24" s="64"/>
    </row>
    <row r="25" spans="1:39" s="10" customFormat="1" ht="15">
      <c r="A25" s="78" t="s">
        <v>14</v>
      </c>
      <c r="B25" s="56">
        <f t="shared" si="0"/>
        <v>548.17677000000003</v>
      </c>
      <c r="C25" s="57">
        <v>82.1</v>
      </c>
      <c r="D25" s="57">
        <v>247.33808999999999</v>
      </c>
      <c r="E25" s="57">
        <v>213.137</v>
      </c>
      <c r="F25" s="57"/>
      <c r="G25" s="57"/>
      <c r="H25" s="57"/>
      <c r="I25" s="57"/>
      <c r="J25" s="57"/>
      <c r="K25" s="57"/>
      <c r="L25" s="57">
        <v>5.60168</v>
      </c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64"/>
      <c r="AM25" s="64"/>
    </row>
    <row r="26" spans="1:39" s="10" customFormat="1" ht="15">
      <c r="A26" s="78" t="s">
        <v>15</v>
      </c>
      <c r="B26" s="56">
        <f t="shared" si="0"/>
        <v>556.11364000000003</v>
      </c>
      <c r="C26" s="57">
        <v>24.8</v>
      </c>
      <c r="D26" s="57">
        <v>264</v>
      </c>
      <c r="E26" s="57"/>
      <c r="F26" s="57"/>
      <c r="G26" s="57"/>
      <c r="H26" s="57"/>
      <c r="I26" s="57"/>
      <c r="J26" s="57"/>
      <c r="K26" s="57">
        <v>70</v>
      </c>
      <c r="L26" s="57">
        <v>6.7704300000000002</v>
      </c>
      <c r="M26" s="57"/>
      <c r="N26" s="57"/>
      <c r="O26" s="57"/>
      <c r="P26" s="57"/>
      <c r="Q26" s="57"/>
      <c r="R26" s="57">
        <v>55</v>
      </c>
      <c r="S26" s="57"/>
      <c r="T26" s="57">
        <v>135.54320999999999</v>
      </c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64"/>
      <c r="AM26" s="64"/>
    </row>
    <row r="27" spans="1:39" s="10" customFormat="1" ht="15.75" thickBot="1">
      <c r="A27" s="79" t="s">
        <v>16</v>
      </c>
      <c r="B27" s="56">
        <f t="shared" si="0"/>
        <v>5972.2321300000003</v>
      </c>
      <c r="C27" s="57">
        <v>61.7</v>
      </c>
      <c r="D27" s="57">
        <v>300</v>
      </c>
      <c r="E27" s="57">
        <v>244.04</v>
      </c>
      <c r="F27" s="57">
        <v>276</v>
      </c>
      <c r="G27" s="57">
        <v>2500</v>
      </c>
      <c r="H27" s="57"/>
      <c r="I27" s="57"/>
      <c r="J27" s="57"/>
      <c r="K27" s="57"/>
      <c r="L27" s="57">
        <v>15.21213</v>
      </c>
      <c r="M27" s="57"/>
      <c r="N27" s="57"/>
      <c r="O27" s="57">
        <v>3.8</v>
      </c>
      <c r="P27" s="57">
        <v>128</v>
      </c>
      <c r="Q27" s="57">
        <v>27.64</v>
      </c>
      <c r="R27" s="57"/>
      <c r="S27" s="57"/>
      <c r="T27" s="57"/>
      <c r="U27" s="57"/>
      <c r="V27" s="57"/>
      <c r="W27" s="57"/>
      <c r="X27" s="57">
        <v>1442</v>
      </c>
      <c r="Y27" s="57"/>
      <c r="Z27" s="57"/>
      <c r="AA27" s="57"/>
      <c r="AB27" s="66">
        <v>10</v>
      </c>
      <c r="AC27" s="66">
        <v>163.84</v>
      </c>
      <c r="AD27" s="57"/>
      <c r="AE27" s="57"/>
      <c r="AF27" s="66">
        <v>800</v>
      </c>
      <c r="AG27" s="66"/>
      <c r="AH27" s="66"/>
      <c r="AI27" s="66"/>
      <c r="AJ27" s="66"/>
      <c r="AK27" s="57"/>
      <c r="AL27" s="64"/>
      <c r="AM27" s="64"/>
    </row>
    <row r="28" spans="1:39" s="17" customFormat="1" ht="15.75" thickBot="1">
      <c r="A28" s="58" t="s">
        <v>17</v>
      </c>
      <c r="B28" s="42">
        <f>SUM(B16:B27)</f>
        <v>24597.444620000002</v>
      </c>
      <c r="C28" s="42">
        <f t="shared" ref="C28" si="1">SUM(C16:C27)</f>
        <v>500</v>
      </c>
      <c r="D28" s="42">
        <f>SUM(D16:D27)</f>
        <v>3161.9873500000003</v>
      </c>
      <c r="E28" s="42">
        <f t="shared" ref="E28:AK28" si="2">SUM(E16:E27)</f>
        <v>11005.13053</v>
      </c>
      <c r="F28" s="42">
        <f t="shared" si="2"/>
        <v>412.78300000000002</v>
      </c>
      <c r="G28" s="42">
        <f t="shared" si="2"/>
        <v>2500</v>
      </c>
      <c r="H28" s="42">
        <f t="shared" si="2"/>
        <v>350</v>
      </c>
      <c r="I28" s="42">
        <f t="shared" si="2"/>
        <v>0</v>
      </c>
      <c r="J28" s="42">
        <f t="shared" si="2"/>
        <v>312</v>
      </c>
      <c r="K28" s="42">
        <f t="shared" si="2"/>
        <v>280</v>
      </c>
      <c r="L28" s="42">
        <f t="shared" si="2"/>
        <v>79.826509999999999</v>
      </c>
      <c r="M28" s="42">
        <f t="shared" si="2"/>
        <v>1360</v>
      </c>
      <c r="N28" s="42">
        <f t="shared" si="2"/>
        <v>76.816190000000006</v>
      </c>
      <c r="O28" s="42">
        <f t="shared" si="2"/>
        <v>3.8</v>
      </c>
      <c r="P28" s="42">
        <f t="shared" si="2"/>
        <v>128</v>
      </c>
      <c r="Q28" s="42">
        <f t="shared" si="2"/>
        <v>27.64</v>
      </c>
      <c r="R28" s="42">
        <f t="shared" si="2"/>
        <v>55</v>
      </c>
      <c r="S28" s="42">
        <f t="shared" si="2"/>
        <v>480</v>
      </c>
      <c r="T28" s="42">
        <f t="shared" si="2"/>
        <v>135.54320999999999</v>
      </c>
      <c r="U28" s="42">
        <f t="shared" si="2"/>
        <v>182</v>
      </c>
      <c r="V28" s="42">
        <f t="shared" si="2"/>
        <v>0</v>
      </c>
      <c r="W28" s="42">
        <f t="shared" si="2"/>
        <v>71.835999999999999</v>
      </c>
      <c r="X28" s="42">
        <f t="shared" si="2"/>
        <v>1442</v>
      </c>
      <c r="Y28" s="42">
        <f t="shared" si="2"/>
        <v>55</v>
      </c>
      <c r="Z28" s="42">
        <f t="shared" si="2"/>
        <v>11.298999999999999</v>
      </c>
      <c r="AA28" s="42">
        <f t="shared" si="2"/>
        <v>100</v>
      </c>
      <c r="AB28" s="42">
        <f t="shared" si="2"/>
        <v>10</v>
      </c>
      <c r="AC28" s="42">
        <f t="shared" si="2"/>
        <v>163.84</v>
      </c>
      <c r="AD28" s="42">
        <f t="shared" si="2"/>
        <v>18.2</v>
      </c>
      <c r="AE28" s="42">
        <f t="shared" si="2"/>
        <v>240</v>
      </c>
      <c r="AF28" s="42">
        <f>SUM(AF16:AF27)</f>
        <v>800</v>
      </c>
      <c r="AG28" s="42">
        <f t="shared" ref="AG28:AJ28" si="3">SUM(AG16:AG27)</f>
        <v>27.742829999999998</v>
      </c>
      <c r="AH28" s="42">
        <f t="shared" si="3"/>
        <v>490</v>
      </c>
      <c r="AI28" s="42">
        <f t="shared" si="3"/>
        <v>117</v>
      </c>
      <c r="AJ28" s="42">
        <f t="shared" si="3"/>
        <v>0</v>
      </c>
      <c r="AK28" s="42">
        <f t="shared" si="2"/>
        <v>0</v>
      </c>
      <c r="AL28" s="23">
        <f>SUM(AL16:AL27)</f>
        <v>0</v>
      </c>
      <c r="AM28" s="23">
        <f>SUM(AM16:AM27)</f>
        <v>0</v>
      </c>
    </row>
    <row r="29" spans="1:39" s="10" customFormat="1">
      <c r="A29" s="59"/>
      <c r="B29" s="50"/>
      <c r="C29" s="60"/>
      <c r="D29" s="60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38"/>
      <c r="AM29" s="38"/>
    </row>
    <row r="30" spans="1:39" s="18" customFormat="1"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L30" s="61"/>
    </row>
    <row r="31" spans="1:39" s="19" customFormat="1"/>
    <row r="32" spans="1:39" s="20" customFormat="1">
      <c r="A32" s="88" t="s">
        <v>18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</row>
    <row r="34" spans="2:39">
      <c r="AM34" s="21"/>
    </row>
    <row r="35" spans="2:39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1"/>
      <c r="AM35" s="21"/>
    </row>
  </sheetData>
  <mergeCells count="9">
    <mergeCell ref="B4:AM4"/>
    <mergeCell ref="A32:AM32"/>
    <mergeCell ref="A8:AM8"/>
    <mergeCell ref="A11:AM11"/>
    <mergeCell ref="A14:A15"/>
    <mergeCell ref="B14:B15"/>
    <mergeCell ref="C14:AK14"/>
    <mergeCell ref="AL14:AL15"/>
    <mergeCell ref="AM14:AM15"/>
  </mergeCells>
  <printOptions horizontalCentered="1"/>
  <pageMargins left="0.19685039370078741" right="0" top="0.78740157480314965" bottom="0.78740157480314965" header="0" footer="0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zoomScaleSheetLayoutView="100" workbookViewId="0">
      <selection activeCell="E9" sqref="E9"/>
    </sheetView>
  </sheetViews>
  <sheetFormatPr defaultRowHeight="12.75"/>
  <cols>
    <col min="1" max="1" width="25.7109375" style="1" customWidth="1"/>
    <col min="2" max="2" width="24.85546875" style="1" customWidth="1"/>
    <col min="3" max="3" width="32.85546875" style="1" hidden="1" customWidth="1"/>
    <col min="4" max="4" width="24.85546875" style="1" hidden="1" customWidth="1"/>
    <col min="5" max="6" width="24.85546875" style="1" customWidth="1"/>
    <col min="7" max="16384" width="9.140625" style="1"/>
  </cols>
  <sheetData>
    <row r="1" spans="1:6" s="28" customFormat="1" ht="17.25" customHeight="1">
      <c r="A1" s="24"/>
      <c r="B1" s="25"/>
      <c r="C1" s="25"/>
      <c r="D1" s="25"/>
      <c r="E1" s="25"/>
      <c r="F1" s="26" t="s">
        <v>22</v>
      </c>
    </row>
    <row r="2" spans="1:6" s="28" customFormat="1" ht="12" customHeight="1">
      <c r="A2" s="29"/>
      <c r="B2" s="30"/>
      <c r="C2" s="30"/>
      <c r="D2" s="30"/>
      <c r="E2" s="30"/>
      <c r="F2" s="31" t="s">
        <v>62</v>
      </c>
    </row>
    <row r="3" spans="1:6" s="28" customFormat="1" ht="12.75" customHeight="1">
      <c r="A3" s="33"/>
      <c r="B3" s="30"/>
      <c r="C3" s="30"/>
      <c r="D3" s="30"/>
      <c r="E3" s="30"/>
      <c r="F3" s="31" t="s">
        <v>0</v>
      </c>
    </row>
    <row r="4" spans="1:6" s="28" customFormat="1" ht="12" customHeight="1">
      <c r="A4" s="29"/>
      <c r="B4" s="92" t="s">
        <v>74</v>
      </c>
      <c r="C4" s="93"/>
      <c r="D4" s="93"/>
      <c r="E4" s="93"/>
      <c r="F4" s="93"/>
    </row>
    <row r="5" spans="1:6" s="28" customFormat="1" ht="15.75">
      <c r="A5" s="34"/>
      <c r="B5" s="34"/>
      <c r="C5" s="34"/>
      <c r="D5" s="34"/>
      <c r="F5" s="31" t="s">
        <v>1</v>
      </c>
    </row>
    <row r="6" spans="1:6" s="28" customFormat="1" ht="15.75">
      <c r="A6" s="34"/>
      <c r="B6" s="34"/>
      <c r="C6" s="34"/>
      <c r="D6" s="34"/>
      <c r="F6" s="31" t="s">
        <v>19</v>
      </c>
    </row>
    <row r="7" spans="1:6" ht="15">
      <c r="A7" s="2"/>
      <c r="B7" s="2"/>
      <c r="C7" s="2"/>
      <c r="D7" s="2"/>
      <c r="E7" s="3"/>
      <c r="F7" s="3"/>
    </row>
    <row r="8" spans="1:6" ht="75.75" customHeight="1">
      <c r="A8" s="85" t="s">
        <v>20</v>
      </c>
      <c r="B8" s="85"/>
      <c r="C8" s="85"/>
      <c r="D8" s="85"/>
      <c r="E8" s="85"/>
      <c r="F8" s="85"/>
    </row>
    <row r="9" spans="1:6" ht="15" customHeight="1">
      <c r="A9" s="4"/>
      <c r="B9" s="4"/>
      <c r="C9" s="4"/>
      <c r="D9" s="4"/>
      <c r="E9" s="4"/>
      <c r="F9" s="4"/>
    </row>
    <row r="10" spans="1:6" ht="15">
      <c r="A10" s="2"/>
      <c r="B10" s="5"/>
      <c r="C10" s="5"/>
      <c r="D10" s="5"/>
      <c r="E10" s="3"/>
      <c r="F10" s="6" t="s">
        <v>64</v>
      </c>
    </row>
    <row r="11" spans="1:6" ht="62.25" customHeight="1">
      <c r="A11" s="87" t="s">
        <v>65</v>
      </c>
      <c r="B11" s="87"/>
      <c r="C11" s="87"/>
      <c r="D11" s="87"/>
      <c r="E11" s="87"/>
      <c r="F11" s="87"/>
    </row>
    <row r="13" spans="1:6" ht="13.5" thickBot="1">
      <c r="A13" s="7"/>
      <c r="B13" s="8"/>
      <c r="C13" s="8"/>
      <c r="D13" s="8"/>
      <c r="F13" s="9" t="s">
        <v>3</v>
      </c>
    </row>
    <row r="14" spans="1:6" s="10" customFormat="1" ht="15" customHeight="1" thickBot="1">
      <c r="A14" s="80" t="s">
        <v>4</v>
      </c>
      <c r="B14" s="80">
        <v>2022</v>
      </c>
      <c r="C14" s="89" t="s">
        <v>36</v>
      </c>
      <c r="D14" s="91"/>
      <c r="E14" s="80">
        <v>2023</v>
      </c>
      <c r="F14" s="80">
        <v>2024</v>
      </c>
    </row>
    <row r="15" spans="1:6" s="10" customFormat="1" ht="45" customHeight="1" thickBot="1">
      <c r="A15" s="86"/>
      <c r="B15" s="81"/>
      <c r="C15" s="52" t="s">
        <v>66</v>
      </c>
      <c r="D15" s="70" t="s">
        <v>67</v>
      </c>
      <c r="E15" s="81"/>
      <c r="F15" s="81"/>
    </row>
    <row r="16" spans="1:6" s="10" customFormat="1" ht="18" customHeight="1">
      <c r="A16" s="11" t="s">
        <v>5</v>
      </c>
      <c r="B16" s="62">
        <f>C16+D16</f>
        <v>121313.63618</v>
      </c>
      <c r="C16" s="62"/>
      <c r="D16" s="72">
        <f>93444.2+3893.5656+23975.87058</f>
        <v>121313.63618</v>
      </c>
      <c r="E16" s="71"/>
      <c r="F16" s="12"/>
    </row>
    <row r="17" spans="1:6" s="10" customFormat="1" ht="15">
      <c r="A17" s="13" t="s">
        <v>6</v>
      </c>
      <c r="B17" s="62">
        <f t="shared" ref="B17:B27" si="0">C17+D17</f>
        <v>0</v>
      </c>
      <c r="C17" s="64"/>
      <c r="D17" s="64"/>
      <c r="E17" s="14"/>
      <c r="F17" s="14"/>
    </row>
    <row r="18" spans="1:6" s="10" customFormat="1" ht="15">
      <c r="A18" s="13" t="s">
        <v>7</v>
      </c>
      <c r="B18" s="62">
        <f t="shared" si="0"/>
        <v>0</v>
      </c>
      <c r="C18" s="64"/>
      <c r="D18" s="64"/>
      <c r="E18" s="14"/>
      <c r="F18" s="14"/>
    </row>
    <row r="19" spans="1:6" s="10" customFormat="1" ht="15">
      <c r="A19" s="13" t="s">
        <v>8</v>
      </c>
      <c r="B19" s="62">
        <f t="shared" si="0"/>
        <v>949.68049999999994</v>
      </c>
      <c r="C19" s="57">
        <f>699.76+249.9+0.0205</f>
        <v>949.68049999999994</v>
      </c>
      <c r="D19" s="64"/>
      <c r="E19" s="14"/>
      <c r="F19" s="14"/>
    </row>
    <row r="20" spans="1:6" s="10" customFormat="1" ht="15">
      <c r="A20" s="13" t="s">
        <v>9</v>
      </c>
      <c r="B20" s="62">
        <f t="shared" si="0"/>
        <v>1281.3755000000001</v>
      </c>
      <c r="C20" s="57">
        <f>1195.95+85.4+0.0255</f>
        <v>1281.3755000000001</v>
      </c>
      <c r="D20" s="64"/>
      <c r="E20" s="14"/>
      <c r="F20" s="14"/>
    </row>
    <row r="21" spans="1:6" s="10" customFormat="1" ht="15">
      <c r="A21" s="13" t="s">
        <v>10</v>
      </c>
      <c r="B21" s="62">
        <f t="shared" si="0"/>
        <v>0</v>
      </c>
      <c r="C21" s="57"/>
      <c r="D21" s="64"/>
      <c r="E21" s="14"/>
      <c r="F21" s="14"/>
    </row>
    <row r="22" spans="1:6" s="15" customFormat="1" ht="15">
      <c r="A22" s="13" t="s">
        <v>11</v>
      </c>
      <c r="B22" s="62">
        <f t="shared" si="0"/>
        <v>1750.7804999999998</v>
      </c>
      <c r="C22" s="57">
        <f>1634.1+116.7-0.0195</f>
        <v>1750.7804999999998</v>
      </c>
      <c r="D22" s="64"/>
      <c r="E22" s="14"/>
      <c r="F22" s="14"/>
    </row>
    <row r="23" spans="1:6" s="10" customFormat="1" ht="15">
      <c r="A23" s="13" t="s">
        <v>12</v>
      </c>
      <c r="B23" s="62">
        <f t="shared" si="0"/>
        <v>2142.85</v>
      </c>
      <c r="C23" s="57">
        <f>1999.984+142.9-0.034</f>
        <v>2142.85</v>
      </c>
      <c r="D23" s="64"/>
      <c r="E23" s="14"/>
      <c r="F23" s="14"/>
    </row>
    <row r="24" spans="1:6" s="10" customFormat="1" ht="15">
      <c r="A24" s="13" t="s">
        <v>13</v>
      </c>
      <c r="B24" s="62">
        <f t="shared" si="0"/>
        <v>0</v>
      </c>
      <c r="C24" s="57"/>
      <c r="D24" s="64"/>
      <c r="E24" s="14"/>
      <c r="F24" s="14"/>
    </row>
    <row r="25" spans="1:6" s="10" customFormat="1" ht="15">
      <c r="A25" s="13" t="s">
        <v>14</v>
      </c>
      <c r="B25" s="62">
        <f t="shared" si="0"/>
        <v>0</v>
      </c>
      <c r="C25" s="57"/>
      <c r="D25" s="64"/>
      <c r="E25" s="14"/>
      <c r="F25" s="14"/>
    </row>
    <row r="26" spans="1:6" s="10" customFormat="1" ht="15">
      <c r="A26" s="13" t="s">
        <v>15</v>
      </c>
      <c r="B26" s="62">
        <f t="shared" si="0"/>
        <v>1064.6699999999998</v>
      </c>
      <c r="C26" s="57">
        <f>993.6625+71+0.0075</f>
        <v>1064.6699999999998</v>
      </c>
      <c r="D26" s="64"/>
      <c r="E26" s="14"/>
      <c r="F26" s="14"/>
    </row>
    <row r="27" spans="1:6" s="10" customFormat="1" ht="15.75" thickBot="1">
      <c r="A27" s="16" t="s">
        <v>16</v>
      </c>
      <c r="B27" s="62">
        <f t="shared" si="0"/>
        <v>0</v>
      </c>
      <c r="C27" s="64"/>
      <c r="D27" s="64"/>
      <c r="E27" s="14"/>
      <c r="F27" s="14"/>
    </row>
    <row r="28" spans="1:6" s="17" customFormat="1" ht="15.75" thickBot="1">
      <c r="A28" s="58" t="s">
        <v>17</v>
      </c>
      <c r="B28" s="73">
        <f>SUM(B16:B27)</f>
        <v>128502.99268</v>
      </c>
      <c r="C28" s="74">
        <f t="shared" ref="C28:D28" si="1">SUM(C16:C27)</f>
        <v>7189.3564999999999</v>
      </c>
      <c r="D28" s="23">
        <f t="shared" si="1"/>
        <v>121313.63618</v>
      </c>
      <c r="E28" s="75">
        <f>SUM(E16:E27)</f>
        <v>0</v>
      </c>
      <c r="F28" s="75">
        <f>SUM(F16:F27)</f>
        <v>0</v>
      </c>
    </row>
    <row r="29" spans="1:6" s="10" customFormat="1">
      <c r="A29" s="59"/>
      <c r="B29" s="59"/>
      <c r="C29" s="76"/>
      <c r="D29" s="76"/>
    </row>
    <row r="30" spans="1:6" s="18" customFormat="1">
      <c r="E30" s="61"/>
    </row>
    <row r="31" spans="1:6" s="19" customFormat="1"/>
    <row r="32" spans="1:6" s="20" customFormat="1">
      <c r="A32" s="88" t="s">
        <v>18</v>
      </c>
      <c r="B32" s="88"/>
      <c r="C32" s="88"/>
      <c r="D32" s="88"/>
      <c r="E32" s="88"/>
      <c r="F32" s="88"/>
    </row>
    <row r="34" spans="2:6">
      <c r="F34" s="21"/>
    </row>
    <row r="35" spans="2:6">
      <c r="B35" s="22"/>
      <c r="C35" s="22"/>
      <c r="D35" s="22"/>
      <c r="E35" s="21"/>
      <c r="F35" s="21"/>
    </row>
  </sheetData>
  <mergeCells count="9">
    <mergeCell ref="B4:F4"/>
    <mergeCell ref="A32:F32"/>
    <mergeCell ref="A8:F8"/>
    <mergeCell ref="A11:F11"/>
    <mergeCell ref="A14:A15"/>
    <mergeCell ref="B14:B15"/>
    <mergeCell ref="C14:D14"/>
    <mergeCell ref="E14:E15"/>
    <mergeCell ref="F14:F15"/>
  </mergeCells>
  <printOptions horizontalCentered="1"/>
  <pageMargins left="1.1811023622047245" right="0.59055118110236227" top="0.78740157480314965" bottom="0.78740157480314965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таблица 1 </vt:lpstr>
      <vt:lpstr>таблица 3</vt:lpstr>
      <vt:lpstr>таблица 4</vt:lpstr>
      <vt:lpstr>'таблица 1 '!Область_печати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uristdem</cp:lastModifiedBy>
  <cp:lastPrinted>2022-11-01T03:11:58Z</cp:lastPrinted>
  <dcterms:created xsi:type="dcterms:W3CDTF">2019-11-08T03:30:05Z</dcterms:created>
  <dcterms:modified xsi:type="dcterms:W3CDTF">2022-11-01T03:12:26Z</dcterms:modified>
</cp:coreProperties>
</file>